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КАЧЕСТВО\Разное\Единые стандарты обслуживания потребителей\2022 год (отчетность)\"/>
    </mc:Choice>
  </mc:AlternateContent>
  <bookViews>
    <workbookView xWindow="0" yWindow="0" windowWidth="28800" windowHeight="11700" activeTab="2"/>
  </bookViews>
  <sheets>
    <sheet name="ВЭС все ЗЦП" sheetId="3" r:id="rId1"/>
    <sheet name="ЗЭС все ЗЦП" sheetId="5" r:id="rId2"/>
    <sheet name="СЭС" sheetId="1" r:id="rId3"/>
    <sheet name="ЦЭС" sheetId="2" r:id="rId4"/>
    <sheet name="ЮЭС все ЗЦП" sheetId="4" r:id="rId5"/>
  </sheets>
  <definedNames>
    <definedName name="_xlnm.Print_Area" localSheetId="2">СЭС!#REF!</definedName>
  </definedNames>
  <calcPr calcId="162913"/>
</workbook>
</file>

<file path=xl/calcChain.xml><?xml version="1.0" encoding="utf-8"?>
<calcChain xmlns="http://schemas.openxmlformats.org/spreadsheetml/2006/main">
  <c r="R3" i="3" l="1"/>
  <c r="Q3" i="3"/>
  <c r="P3" i="3"/>
  <c r="AK196" i="1" l="1"/>
  <c r="M196" i="1"/>
  <c r="G196" i="1"/>
  <c r="J196" i="1" s="1"/>
  <c r="N197" i="1" s="1"/>
  <c r="F196" i="1"/>
  <c r="P193" i="1"/>
  <c r="M192" i="1"/>
  <c r="I192" i="1"/>
  <c r="J192" i="1" s="1"/>
  <c r="N193" i="1" s="1"/>
  <c r="H192" i="1"/>
  <c r="G192" i="1"/>
  <c r="F192" i="1"/>
  <c r="AK192" i="1" s="1"/>
  <c r="M188" i="1"/>
  <c r="I188" i="1"/>
  <c r="H188" i="1"/>
  <c r="G188" i="1"/>
  <c r="J188" i="1" s="1"/>
  <c r="N189" i="1" s="1"/>
  <c r="F188" i="1"/>
  <c r="AK188" i="1" s="1"/>
  <c r="M185" i="1"/>
  <c r="J185" i="1"/>
  <c r="N186" i="1" s="1"/>
  <c r="G185" i="1"/>
  <c r="P186" i="1" s="1"/>
  <c r="F185" i="1"/>
  <c r="AK185" i="1" s="1"/>
  <c r="M182" i="1"/>
  <c r="I182" i="1"/>
  <c r="H182" i="1"/>
  <c r="G182" i="1"/>
  <c r="J182" i="1" s="1"/>
  <c r="N183" i="1" s="1"/>
  <c r="F182" i="1"/>
  <c r="AK182" i="1" s="1"/>
  <c r="M178" i="1"/>
  <c r="J178" i="1"/>
  <c r="N179" i="1" s="1"/>
  <c r="I178" i="1"/>
  <c r="H178" i="1"/>
  <c r="G178" i="1"/>
  <c r="P179" i="1" s="1"/>
  <c r="F178" i="1"/>
  <c r="AK178" i="1" s="1"/>
  <c r="AK174" i="1"/>
  <c r="M174" i="1"/>
  <c r="G174" i="1"/>
  <c r="J174" i="1" s="1"/>
  <c r="N175" i="1" s="1"/>
  <c r="F174" i="1"/>
  <c r="M171" i="1"/>
  <c r="J171" i="1"/>
  <c r="N172" i="1" s="1"/>
  <c r="I171" i="1"/>
  <c r="H171" i="1"/>
  <c r="G171" i="1"/>
  <c r="P172" i="1" s="1"/>
  <c r="F171" i="1"/>
  <c r="AK171" i="1" s="1"/>
  <c r="P168" i="1"/>
  <c r="M167" i="1"/>
  <c r="I167" i="1"/>
  <c r="H167" i="1"/>
  <c r="G167" i="1"/>
  <c r="J167" i="1" s="1"/>
  <c r="N168" i="1" s="1"/>
  <c r="F167" i="1"/>
  <c r="AK167" i="1" s="1"/>
  <c r="M163" i="1"/>
  <c r="J163" i="1"/>
  <c r="N164" i="1" s="1"/>
  <c r="I163" i="1"/>
  <c r="H163" i="1"/>
  <c r="G163" i="1"/>
  <c r="P164" i="1" s="1"/>
  <c r="F163" i="1"/>
  <c r="AK163" i="1" s="1"/>
  <c r="M160" i="1"/>
  <c r="G160" i="1"/>
  <c r="J160" i="1" s="1"/>
  <c r="N161" i="1" s="1"/>
  <c r="F160" i="1"/>
  <c r="AK160" i="1" s="1"/>
  <c r="M156" i="1"/>
  <c r="J156" i="1"/>
  <c r="N157" i="1" s="1"/>
  <c r="I156" i="1"/>
  <c r="H156" i="1"/>
  <c r="G156" i="1"/>
  <c r="P157" i="1" s="1"/>
  <c r="F156" i="1"/>
  <c r="AK156" i="1" s="1"/>
  <c r="M152" i="1"/>
  <c r="I152" i="1"/>
  <c r="H152" i="1"/>
  <c r="G152" i="1"/>
  <c r="J152" i="1" s="1"/>
  <c r="N153" i="1" s="1"/>
  <c r="F152" i="1"/>
  <c r="AK152" i="1" s="1"/>
  <c r="P149" i="1"/>
  <c r="P148" i="1"/>
  <c r="M147" i="1"/>
  <c r="I147" i="1"/>
  <c r="J147" i="1" s="1"/>
  <c r="H147" i="1"/>
  <c r="G147" i="1"/>
  <c r="F147" i="1"/>
  <c r="AI147" i="1" s="1"/>
  <c r="N145" i="1"/>
  <c r="AK144" i="1"/>
  <c r="M144" i="1"/>
  <c r="J144" i="1"/>
  <c r="G144" i="1"/>
  <c r="P145" i="1" s="1"/>
  <c r="F144" i="1"/>
  <c r="AK140" i="1"/>
  <c r="M140" i="1"/>
  <c r="G140" i="1"/>
  <c r="J140" i="1" s="1"/>
  <c r="N141" i="1" s="1"/>
  <c r="F140" i="1"/>
  <c r="M136" i="1"/>
  <c r="G136" i="1"/>
  <c r="J136" i="1" s="1"/>
  <c r="N137" i="1" s="1"/>
  <c r="R137" i="1" s="1"/>
  <c r="S137" i="1" s="1"/>
  <c r="F136" i="1"/>
  <c r="AK136" i="1" s="1"/>
  <c r="AK132" i="1"/>
  <c r="M132" i="1"/>
  <c r="J132" i="1"/>
  <c r="N133" i="1" s="1"/>
  <c r="Q133" i="1" s="1"/>
  <c r="G132" i="1"/>
  <c r="P133" i="1" s="1"/>
  <c r="F132" i="1"/>
  <c r="P129" i="1"/>
  <c r="M128" i="1"/>
  <c r="J128" i="1"/>
  <c r="N129" i="1" s="1"/>
  <c r="G128" i="1"/>
  <c r="F128" i="1"/>
  <c r="N125" i="1"/>
  <c r="AI124" i="1"/>
  <c r="M124" i="1"/>
  <c r="J124" i="1"/>
  <c r="G124" i="1"/>
  <c r="P125" i="1" s="1"/>
  <c r="F124" i="1"/>
  <c r="P122" i="1"/>
  <c r="AJ121" i="1"/>
  <c r="M121" i="1"/>
  <c r="I121" i="1"/>
  <c r="J121" i="1" s="1"/>
  <c r="N122" i="1" s="1"/>
  <c r="H121" i="1"/>
  <c r="G121" i="1"/>
  <c r="F121" i="1"/>
  <c r="P118" i="1"/>
  <c r="N118" i="1"/>
  <c r="M117" i="1"/>
  <c r="J117" i="1"/>
  <c r="I117" i="1"/>
  <c r="G117" i="1"/>
  <c r="F117" i="1"/>
  <c r="AJ117" i="1" s="1"/>
  <c r="M113" i="1"/>
  <c r="I113" i="1"/>
  <c r="H113" i="1"/>
  <c r="G113" i="1"/>
  <c r="F113" i="1"/>
  <c r="AJ113" i="1" s="1"/>
  <c r="M110" i="1"/>
  <c r="J110" i="1"/>
  <c r="N111" i="1" s="1"/>
  <c r="O111" i="1" s="1"/>
  <c r="I110" i="1"/>
  <c r="H110" i="1"/>
  <c r="G110" i="1"/>
  <c r="P111" i="1" s="1"/>
  <c r="F110" i="1"/>
  <c r="AJ110" i="1" s="1"/>
  <c r="P107" i="1"/>
  <c r="M106" i="1"/>
  <c r="I106" i="1"/>
  <c r="H106" i="1"/>
  <c r="G106" i="1"/>
  <c r="J106" i="1" s="1"/>
  <c r="N107" i="1" s="1"/>
  <c r="F106" i="1"/>
  <c r="AJ106" i="1" s="1"/>
  <c r="AI102" i="1"/>
  <c r="R100" i="1"/>
  <c r="S100" i="1" s="1"/>
  <c r="S122" i="1" s="1"/>
  <c r="M99" i="1"/>
  <c r="I99" i="1"/>
  <c r="H99" i="1"/>
  <c r="G99" i="1"/>
  <c r="J99" i="1" s="1"/>
  <c r="N100" i="1" s="1"/>
  <c r="F99" i="1"/>
  <c r="AI99" i="1" s="1"/>
  <c r="M95" i="1"/>
  <c r="G95" i="1"/>
  <c r="J95" i="1" s="1"/>
  <c r="N96" i="1" s="1"/>
  <c r="F95" i="1"/>
  <c r="AK95" i="1" s="1"/>
  <c r="M92" i="1"/>
  <c r="G92" i="1"/>
  <c r="J92" i="1" s="1"/>
  <c r="N93" i="1" s="1"/>
  <c r="F92" i="1"/>
  <c r="AK92" i="1" s="1"/>
  <c r="AK88" i="1"/>
  <c r="M88" i="1"/>
  <c r="J88" i="1"/>
  <c r="N89" i="1" s="1"/>
  <c r="G88" i="1"/>
  <c r="P89" i="1" s="1"/>
  <c r="F88" i="1"/>
  <c r="R85" i="1"/>
  <c r="S85" i="1" s="1"/>
  <c r="P85" i="1"/>
  <c r="AK84" i="1"/>
  <c r="M84" i="1"/>
  <c r="G84" i="1"/>
  <c r="J84" i="1" s="1"/>
  <c r="N85" i="1" s="1"/>
  <c r="F84" i="1"/>
  <c r="R81" i="1"/>
  <c r="S81" i="1" s="1"/>
  <c r="Q81" i="1"/>
  <c r="O81" i="1"/>
  <c r="M80" i="1"/>
  <c r="J80" i="1"/>
  <c r="N81" i="1" s="1"/>
  <c r="I80" i="1"/>
  <c r="H80" i="1"/>
  <c r="G80" i="1"/>
  <c r="P81" i="1" s="1"/>
  <c r="F80" i="1"/>
  <c r="AJ80" i="1" s="1"/>
  <c r="P77" i="1"/>
  <c r="AJ76" i="1"/>
  <c r="M76" i="1"/>
  <c r="I76" i="1"/>
  <c r="H76" i="1"/>
  <c r="G76" i="1"/>
  <c r="F76" i="1"/>
  <c r="N73" i="1"/>
  <c r="Q73" i="1" s="1"/>
  <c r="AJ72" i="1"/>
  <c r="M72" i="1"/>
  <c r="J72" i="1"/>
  <c r="G72" i="1"/>
  <c r="P73" i="1" s="1"/>
  <c r="F72" i="1"/>
  <c r="R69" i="1"/>
  <c r="AJ68" i="1"/>
  <c r="M68" i="1"/>
  <c r="G68" i="1"/>
  <c r="J68" i="1" s="1"/>
  <c r="N69" i="1" s="1"/>
  <c r="F68" i="1"/>
  <c r="R65" i="1"/>
  <c r="S65" i="1" s="1"/>
  <c r="M64" i="1"/>
  <c r="J64" i="1"/>
  <c r="N65" i="1" s="1"/>
  <c r="Q65" i="1" s="1"/>
  <c r="I64" i="1"/>
  <c r="H64" i="1"/>
  <c r="G64" i="1"/>
  <c r="P65" i="1" s="1"/>
  <c r="F64" i="1"/>
  <c r="AJ64" i="1" s="1"/>
  <c r="R61" i="1"/>
  <c r="S61" i="1" s="1"/>
  <c r="P61" i="1"/>
  <c r="AI60" i="1"/>
  <c r="M60" i="1"/>
  <c r="G60" i="1"/>
  <c r="J60" i="1" s="1"/>
  <c r="N61" i="1" s="1"/>
  <c r="F60" i="1"/>
  <c r="R58" i="1"/>
  <c r="S58" i="1" s="1"/>
  <c r="Q58" i="1"/>
  <c r="O58" i="1"/>
  <c r="M57" i="1"/>
  <c r="J57" i="1"/>
  <c r="N58" i="1" s="1"/>
  <c r="G57" i="1"/>
  <c r="P58" i="1" s="1"/>
  <c r="F57" i="1"/>
  <c r="AK57" i="1" s="1"/>
  <c r="M54" i="1"/>
  <c r="I54" i="1"/>
  <c r="J54" i="1" s="1"/>
  <c r="N55" i="1" s="1"/>
  <c r="H54" i="1"/>
  <c r="G54" i="1"/>
  <c r="P55" i="1" s="1"/>
  <c r="F54" i="1"/>
  <c r="AK54" i="1" s="1"/>
  <c r="R52" i="1"/>
  <c r="S52" i="1" s="1"/>
  <c r="Q52" i="1"/>
  <c r="O52" i="1"/>
  <c r="M51" i="1"/>
  <c r="J51" i="1"/>
  <c r="N52" i="1" s="1"/>
  <c r="I51" i="1"/>
  <c r="H51" i="1"/>
  <c r="G51" i="1"/>
  <c r="P52" i="1" s="1"/>
  <c r="F51" i="1"/>
  <c r="AK51" i="1" s="1"/>
  <c r="N48" i="1"/>
  <c r="AK47" i="1"/>
  <c r="M47" i="1"/>
  <c r="I47" i="1"/>
  <c r="H47" i="1"/>
  <c r="G47" i="1"/>
  <c r="J47" i="1" s="1"/>
  <c r="F47" i="1"/>
  <c r="M43" i="1"/>
  <c r="G43" i="1"/>
  <c r="F43" i="1"/>
  <c r="R41" i="1"/>
  <c r="S41" i="1" s="1"/>
  <c r="Q41" i="1"/>
  <c r="O41" i="1"/>
  <c r="M40" i="1"/>
  <c r="J40" i="1"/>
  <c r="N41" i="1" s="1"/>
  <c r="I40" i="1"/>
  <c r="H40" i="1"/>
  <c r="G40" i="1"/>
  <c r="P41" i="1" s="1"/>
  <c r="F40" i="1"/>
  <c r="AK40" i="1" s="1"/>
  <c r="AK37" i="1"/>
  <c r="M37" i="1"/>
  <c r="G37" i="1"/>
  <c r="J37" i="1" s="1"/>
  <c r="N38" i="1" s="1"/>
  <c r="F37" i="1"/>
  <c r="R35" i="1"/>
  <c r="Q35" i="1"/>
  <c r="O35" i="1"/>
  <c r="AI34" i="1"/>
  <c r="M34" i="1"/>
  <c r="J34" i="1"/>
  <c r="N35" i="1" s="1"/>
  <c r="G34" i="1"/>
  <c r="P35" i="1" s="1"/>
  <c r="F34" i="1"/>
  <c r="AI30" i="1"/>
  <c r="M30" i="1"/>
  <c r="G30" i="1"/>
  <c r="P31" i="1" s="1"/>
  <c r="F30" i="1"/>
  <c r="S25" i="1"/>
  <c r="N25" i="1"/>
  <c r="O25" i="1" s="1"/>
  <c r="AI24" i="1"/>
  <c r="M24" i="1"/>
  <c r="J24" i="1"/>
  <c r="G24" i="1"/>
  <c r="P25" i="1" s="1"/>
  <c r="F24" i="1"/>
  <c r="P22" i="1"/>
  <c r="AK21" i="1"/>
  <c r="M21" i="1"/>
  <c r="G21" i="1"/>
  <c r="J21" i="1" s="1"/>
  <c r="N22" i="1" s="1"/>
  <c r="F21" i="1"/>
  <c r="M16" i="1"/>
  <c r="J16" i="1"/>
  <c r="I16" i="1"/>
  <c r="H16" i="1"/>
  <c r="G16" i="1"/>
  <c r="P18" i="1" s="1"/>
  <c r="F16" i="1"/>
  <c r="AJ16" i="1" s="1"/>
  <c r="P13" i="1"/>
  <c r="N13" i="1"/>
  <c r="P12" i="1"/>
  <c r="N12" i="1"/>
  <c r="R12" i="1" s="1"/>
  <c r="S12" i="1" s="1"/>
  <c r="AJ11" i="1"/>
  <c r="M11" i="1"/>
  <c r="G11" i="1"/>
  <c r="J11" i="1" s="1"/>
  <c r="F11" i="1"/>
  <c r="R8" i="1"/>
  <c r="S8" i="1" s="1"/>
  <c r="Q8" i="1"/>
  <c r="O8" i="1"/>
  <c r="M7" i="1"/>
  <c r="J7" i="1"/>
  <c r="N8" i="1" s="1"/>
  <c r="I7" i="1"/>
  <c r="H7" i="1"/>
  <c r="G7" i="1"/>
  <c r="P8" i="1" s="1"/>
  <c r="F7" i="1"/>
  <c r="AI7" i="1" s="1"/>
  <c r="O55" i="1" l="1"/>
  <c r="R55" i="1"/>
  <c r="S55" i="1" s="1"/>
  <c r="Q55" i="1"/>
  <c r="Q93" i="1"/>
  <c r="O93" i="1"/>
  <c r="R93" i="1"/>
  <c r="S93" i="1" s="1"/>
  <c r="O22" i="1"/>
  <c r="Q22" i="1"/>
  <c r="R22" i="1"/>
  <c r="S22" i="1" s="1"/>
  <c r="O38" i="1"/>
  <c r="Q38" i="1"/>
  <c r="R38" i="1"/>
  <c r="S38" i="1" s="1"/>
  <c r="S77" i="1"/>
  <c r="S69" i="1"/>
  <c r="O89" i="1"/>
  <c r="R89" i="1"/>
  <c r="S89" i="1" s="1"/>
  <c r="Q89" i="1"/>
  <c r="J30" i="1"/>
  <c r="N31" i="1" s="1"/>
  <c r="P44" i="1"/>
  <c r="J43" i="1"/>
  <c r="N44" i="1" s="1"/>
  <c r="O48" i="1"/>
  <c r="Q48" i="1"/>
  <c r="R189" i="1"/>
  <c r="S189" i="1" s="1"/>
  <c r="Q189" i="1"/>
  <c r="O189" i="1"/>
  <c r="P48" i="1"/>
  <c r="R96" i="1"/>
  <c r="S96" i="1" s="1"/>
  <c r="Q96" i="1"/>
  <c r="O96" i="1"/>
  <c r="R193" i="1"/>
  <c r="S193" i="1" s="1"/>
  <c r="Q193" i="1"/>
  <c r="O193" i="1"/>
  <c r="O107" i="1"/>
  <c r="R107" i="1"/>
  <c r="Q107" i="1"/>
  <c r="Q161" i="1"/>
  <c r="O161" i="1"/>
  <c r="R161" i="1"/>
  <c r="S161" i="1" s="1"/>
  <c r="R172" i="1"/>
  <c r="S172" i="1" s="1"/>
  <c r="Q172" i="1"/>
  <c r="O172" i="1"/>
  <c r="P38" i="1"/>
  <c r="O61" i="1"/>
  <c r="Q61" i="1"/>
  <c r="O65" i="1"/>
  <c r="J113" i="1"/>
  <c r="N114" i="1" s="1"/>
  <c r="P114" i="1"/>
  <c r="R141" i="1"/>
  <c r="S141" i="1" s="1"/>
  <c r="Q141" i="1"/>
  <c r="O141" i="1"/>
  <c r="Q153" i="1"/>
  <c r="O153" i="1"/>
  <c r="R153" i="1"/>
  <c r="S153" i="1" s="1"/>
  <c r="R183" i="1"/>
  <c r="S183" i="1" s="1"/>
  <c r="Q183" i="1"/>
  <c r="O183" i="1"/>
  <c r="R186" i="1"/>
  <c r="S186" i="1" s="1"/>
  <c r="Q186" i="1"/>
  <c r="O186" i="1"/>
  <c r="O13" i="1"/>
  <c r="Q13" i="1"/>
  <c r="O168" i="1"/>
  <c r="R168" i="1"/>
  <c r="S168" i="1" s="1"/>
  <c r="Q168" i="1"/>
  <c r="R122" i="1"/>
  <c r="Q122" i="1"/>
  <c r="O122" i="1"/>
  <c r="O133" i="1"/>
  <c r="R133" i="1"/>
  <c r="S133" i="1" s="1"/>
  <c r="R145" i="1"/>
  <c r="S145" i="1" s="1"/>
  <c r="Q145" i="1"/>
  <c r="O145" i="1"/>
  <c r="R179" i="1"/>
  <c r="S179" i="1" s="1"/>
  <c r="Q179" i="1"/>
  <c r="O179" i="1"/>
  <c r="O12" i="1"/>
  <c r="Q12" i="1"/>
  <c r="N18" i="1"/>
  <c r="N17" i="1"/>
  <c r="O69" i="1"/>
  <c r="Q69" i="1"/>
  <c r="Q100" i="1"/>
  <c r="O100" i="1"/>
  <c r="R118" i="1"/>
  <c r="Q118" i="1"/>
  <c r="O118" i="1"/>
  <c r="O129" i="1"/>
  <c r="R129" i="1"/>
  <c r="S129" i="1" s="1"/>
  <c r="Q129" i="1"/>
  <c r="R48" i="1"/>
  <c r="S48" i="1" s="1"/>
  <c r="O164" i="1"/>
  <c r="R164" i="1"/>
  <c r="S164" i="1" s="1"/>
  <c r="Q164" i="1"/>
  <c r="P69" i="1"/>
  <c r="J76" i="1"/>
  <c r="N77" i="1" s="1"/>
  <c r="O85" i="1"/>
  <c r="Q85" i="1"/>
  <c r="P96" i="1"/>
  <c r="R125" i="1"/>
  <c r="S125" i="1" s="1"/>
  <c r="Q125" i="1"/>
  <c r="O125" i="1"/>
  <c r="N149" i="1"/>
  <c r="N148" i="1"/>
  <c r="S118" i="1"/>
  <c r="S114" i="1"/>
  <c r="S111" i="1"/>
  <c r="S107" i="1"/>
  <c r="R111" i="1"/>
  <c r="Q111" i="1"/>
  <c r="O157" i="1"/>
  <c r="R157" i="1"/>
  <c r="S157" i="1" s="1"/>
  <c r="Q157" i="1"/>
  <c r="O175" i="1"/>
  <c r="R175" i="1"/>
  <c r="S175" i="1" s="1"/>
  <c r="Q175" i="1"/>
  <c r="R197" i="1"/>
  <c r="S197" i="1" s="1"/>
  <c r="Q197" i="1"/>
  <c r="O197" i="1"/>
  <c r="Q137" i="1"/>
  <c r="O137" i="1"/>
  <c r="O73" i="1"/>
  <c r="R73" i="1"/>
  <c r="S73" i="1" s="1"/>
  <c r="R13" i="1"/>
  <c r="S13" i="1" s="1"/>
  <c r="P175" i="1"/>
  <c r="P17" i="1"/>
  <c r="P183" i="1"/>
  <c r="P189" i="1"/>
  <c r="P197" i="1"/>
  <c r="P141" i="1"/>
  <c r="P93" i="1"/>
  <c r="P100" i="1"/>
  <c r="P137" i="1"/>
  <c r="P153" i="1"/>
  <c r="P161" i="1"/>
  <c r="R44" i="1" l="1"/>
  <c r="S44" i="1" s="1"/>
  <c r="Q44" i="1"/>
  <c r="O44" i="1"/>
  <c r="O17" i="1"/>
  <c r="R17" i="1"/>
  <c r="S17" i="1" s="1"/>
  <c r="Q17" i="1"/>
  <c r="R149" i="1"/>
  <c r="S149" i="1" s="1"/>
  <c r="Q149" i="1"/>
  <c r="O149" i="1"/>
  <c r="R18" i="1"/>
  <c r="S18" i="1" s="1"/>
  <c r="Q18" i="1"/>
  <c r="O18" i="1"/>
  <c r="O31" i="1"/>
  <c r="Q31" i="1"/>
  <c r="R31" i="1"/>
  <c r="S31" i="1" s="1"/>
  <c r="S35" i="1" s="1"/>
  <c r="O77" i="1"/>
  <c r="Q77" i="1"/>
  <c r="R77" i="1"/>
  <c r="R148" i="1"/>
  <c r="S148" i="1" s="1"/>
  <c r="Q148" i="1"/>
  <c r="O148" i="1"/>
  <c r="R114" i="1"/>
  <c r="Q114" i="1"/>
  <c r="O114" i="1"/>
  <c r="R3" i="4" l="1"/>
  <c r="Q3" i="4"/>
  <c r="P3" i="4"/>
  <c r="Q3" i="2" l="1"/>
  <c r="M48" i="2" l="1"/>
  <c r="M47" i="2"/>
  <c r="M46" i="2" s="1"/>
  <c r="L46" i="2"/>
  <c r="I46" i="2"/>
  <c r="G46" i="2"/>
  <c r="P47" i="2" s="1"/>
  <c r="F46" i="2"/>
  <c r="M44" i="2"/>
  <c r="K43" i="2"/>
  <c r="M43" i="2" s="1"/>
  <c r="M42" i="2" s="1"/>
  <c r="L42" i="2"/>
  <c r="H42" i="2"/>
  <c r="I42" i="2" s="1"/>
  <c r="G42" i="2"/>
  <c r="J42" i="2" s="1"/>
  <c r="N43" i="2" s="1"/>
  <c r="F42" i="2"/>
  <c r="M40" i="2"/>
  <c r="M39" i="2"/>
  <c r="M38" i="2" s="1"/>
  <c r="L38" i="2"/>
  <c r="K38" i="2"/>
  <c r="I38" i="2"/>
  <c r="G38" i="2"/>
  <c r="P39" i="2" s="1"/>
  <c r="F38" i="2"/>
  <c r="L35" i="2"/>
  <c r="K35" i="2"/>
  <c r="H33" i="2"/>
  <c r="I33" i="2" s="1"/>
  <c r="G33" i="2"/>
  <c r="P34" i="2" s="1"/>
  <c r="F33" i="2"/>
  <c r="M29" i="2"/>
  <c r="L29" i="2"/>
  <c r="K29" i="2"/>
  <c r="I29" i="2"/>
  <c r="G29" i="2"/>
  <c r="P30" i="2" s="1"/>
  <c r="F29" i="2"/>
  <c r="M26" i="2"/>
  <c r="L25" i="2"/>
  <c r="L24" i="2" s="1"/>
  <c r="K24" i="2"/>
  <c r="I24" i="2"/>
  <c r="G24" i="2"/>
  <c r="P25" i="2" s="1"/>
  <c r="F24" i="2"/>
  <c r="L21" i="2"/>
  <c r="M20" i="2"/>
  <c r="L20" i="2"/>
  <c r="K20" i="2"/>
  <c r="H20" i="2"/>
  <c r="I20" i="2" s="1"/>
  <c r="G20" i="2"/>
  <c r="P21" i="2" s="1"/>
  <c r="F20" i="2"/>
  <c r="M16" i="2"/>
  <c r="L16" i="2"/>
  <c r="K16" i="2"/>
  <c r="I16" i="2"/>
  <c r="G16" i="2"/>
  <c r="J16" i="2" s="1"/>
  <c r="N17" i="2" s="1"/>
  <c r="L13" i="2"/>
  <c r="M12" i="2"/>
  <c r="L12" i="2"/>
  <c r="K12" i="2"/>
  <c r="H12" i="2"/>
  <c r="I12" i="2" s="1"/>
  <c r="J12" i="2" s="1"/>
  <c r="N13" i="2" s="1"/>
  <c r="G12" i="2"/>
  <c r="P13" i="2" s="1"/>
  <c r="F12" i="2"/>
  <c r="F9" i="2"/>
  <c r="F8" i="2"/>
  <c r="F7" i="2"/>
  <c r="H6" i="2"/>
  <c r="I6" i="2" s="1"/>
  <c r="J6" i="2" s="1"/>
  <c r="N6" i="2" s="1"/>
  <c r="G6" i="2"/>
  <c r="R3" i="2"/>
  <c r="P3" i="2"/>
  <c r="M35" i="2" l="1"/>
  <c r="M33" i="2" s="1"/>
  <c r="J20" i="2"/>
  <c r="N21" i="2" s="1"/>
  <c r="O21" i="2" s="1"/>
  <c r="P43" i="2"/>
  <c r="P17" i="2"/>
  <c r="F6" i="2"/>
  <c r="O6" i="2" s="1"/>
  <c r="L33" i="2"/>
  <c r="K42" i="2"/>
  <c r="J33" i="2"/>
  <c r="N34" i="2" s="1"/>
  <c r="P6" i="2"/>
  <c r="R13" i="2"/>
  <c r="S13" i="2" s="1"/>
  <c r="Q13" i="2"/>
  <c r="O13" i="2"/>
  <c r="O17" i="2"/>
  <c r="R17" i="2"/>
  <c r="S17" i="2" s="1"/>
  <c r="Q17" i="2"/>
  <c r="Q34" i="2"/>
  <c r="O34" i="2"/>
  <c r="R34" i="2"/>
  <c r="S34" i="2" s="1"/>
  <c r="S39" i="2" s="1"/>
  <c r="O43" i="2"/>
  <c r="R43" i="2"/>
  <c r="Q43" i="2"/>
  <c r="M25" i="2"/>
  <c r="M24" i="2" s="1"/>
  <c r="J24" i="2"/>
  <c r="N25" i="2" s="1"/>
  <c r="J38" i="2"/>
  <c r="N39" i="2" s="1"/>
  <c r="J46" i="2"/>
  <c r="N47" i="2" s="1"/>
  <c r="J29" i="2"/>
  <c r="N30" i="2" s="1"/>
  <c r="Q21" i="2" l="1"/>
  <c r="R21" i="2"/>
  <c r="R47" i="2"/>
  <c r="Q47" i="2"/>
  <c r="O47" i="2"/>
  <c r="R39" i="2"/>
  <c r="Q39" i="2"/>
  <c r="O39" i="2"/>
  <c r="Q25" i="2"/>
  <c r="R25" i="2"/>
  <c r="S25" i="2" s="1"/>
  <c r="O25" i="2"/>
  <c r="Q30" i="2"/>
  <c r="O30" i="2"/>
  <c r="R30" i="2"/>
  <c r="R3" i="5" l="1"/>
  <c r="Q3" i="5"/>
  <c r="P3" i="5"/>
</calcChain>
</file>

<file path=xl/sharedStrings.xml><?xml version="1.0" encoding="utf-8"?>
<sst xmlns="http://schemas.openxmlformats.org/spreadsheetml/2006/main" count="919" uniqueCount="255">
  <si>
    <t>110кВ</t>
  </si>
  <si>
    <t>35/6</t>
  </si>
  <si>
    <t>110/35/10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</si>
  <si>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</si>
  <si>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</si>
  <si>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</si>
  <si>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</si>
  <si>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</si>
  <si>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 xml:space="preserve">Т-1 </t>
  </si>
  <si>
    <t xml:space="preserve">Т-2 </t>
  </si>
  <si>
    <t>Т-1</t>
  </si>
  <si>
    <t>Иркутская область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</si>
  <si>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</si>
  <si>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</si>
  <si>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</si>
  <si>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</si>
  <si>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</si>
  <si>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</si>
  <si>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</si>
  <si>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</si>
  <si>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</si>
  <si>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</si>
  <si>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</si>
  <si>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</si>
  <si>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</si>
  <si>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</si>
  <si>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</si>
  <si>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</si>
  <si>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</si>
  <si>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</si>
  <si>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</si>
  <si>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</si>
  <si>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</si>
  <si>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</si>
  <si>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</si>
  <si>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</si>
  <si>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</si>
  <si>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</si>
  <si>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*</t>
  </si>
  <si>
    <t>;uuu</t>
  </si>
  <si>
    <t>Иркутская область, Братский район</t>
  </si>
  <si>
    <t>БЛПК</t>
  </si>
  <si>
    <t>220/110/10</t>
  </si>
  <si>
    <t>г. Братск</t>
  </si>
  <si>
    <t>ж.р. Центральный</t>
  </si>
  <si>
    <t xml:space="preserve">p   </t>
  </si>
  <si>
    <t>эл.снабжение от ПС-220кВ БЛПК</t>
  </si>
  <si>
    <t>110/6</t>
  </si>
  <si>
    <t>Южная</t>
  </si>
  <si>
    <t>110/10</t>
  </si>
  <si>
    <t>Т-3</t>
  </si>
  <si>
    <t xml:space="preserve"> ;up   </t>
  </si>
  <si>
    <t>Городская</t>
  </si>
  <si>
    <t xml:space="preserve">  p     </t>
  </si>
  <si>
    <t>;u  ;uuu</t>
  </si>
  <si>
    <t>220/110/35</t>
  </si>
  <si>
    <t xml:space="preserve">T   p   </t>
  </si>
  <si>
    <t xml:space="preserve">T ;up   </t>
  </si>
  <si>
    <t>Т-4</t>
  </si>
  <si>
    <t xml:space="preserve">T p     </t>
  </si>
  <si>
    <t>35/10</t>
  </si>
  <si>
    <t xml:space="preserve">p       </t>
  </si>
  <si>
    <t>СПП</t>
  </si>
  <si>
    <t>220/35/6</t>
  </si>
  <si>
    <t>Седановский переключательный пункт</t>
  </si>
  <si>
    <t>Джижива</t>
  </si>
  <si>
    <t>220/35</t>
  </si>
  <si>
    <t>Иркутская область, Чунский р-н</t>
  </si>
  <si>
    <t>п. Джижива</t>
  </si>
  <si>
    <t>эл.снабжение от ПС-220кВ Джижива</t>
  </si>
  <si>
    <t>Червянка</t>
  </si>
  <si>
    <t>п. Червянка</t>
  </si>
  <si>
    <t>эл.снабжение от ПС-220кВ СПП</t>
  </si>
  <si>
    <t>Седаново</t>
  </si>
  <si>
    <t>Иркутская область, Усть-Илимский р-н.</t>
  </si>
  <si>
    <t>п. Седаново</t>
  </si>
  <si>
    <t>Кашима</t>
  </si>
  <si>
    <t>с. Подъеланка</t>
  </si>
  <si>
    <t>Подъеланка</t>
  </si>
  <si>
    <t>Ершово</t>
  </si>
  <si>
    <t>п. Ершово</t>
  </si>
  <si>
    <t>Эдучанка</t>
  </si>
  <si>
    <t>п. Эдучанка</t>
  </si>
  <si>
    <t>Н-Эдучанка</t>
  </si>
  <si>
    <t>220/110/35/10/6</t>
  </si>
  <si>
    <t>110/10/6</t>
  </si>
  <si>
    <t>Иркутская обл., Нижнеилимский р-н.</t>
  </si>
  <si>
    <t>Рудногорская</t>
  </si>
  <si>
    <t>п. Рудногорск</t>
  </si>
  <si>
    <t>эл.снабжение от ПС-220кВ Рудногорская</t>
  </si>
  <si>
    <t xml:space="preserve">Ждановская          </t>
  </si>
  <si>
    <t xml:space="preserve">Карьер              </t>
  </si>
  <si>
    <t>п. Янгель</t>
  </si>
  <si>
    <t>ЛДК Игирма</t>
  </si>
  <si>
    <t>п. Новая Игирма</t>
  </si>
  <si>
    <t xml:space="preserve">Н-Илимская          </t>
  </si>
  <si>
    <t>п. Новоилимск</t>
  </si>
  <si>
    <t xml:space="preserve">Березняки           </t>
  </si>
  <si>
    <t>110/35/6</t>
  </si>
  <si>
    <t>п. Березняки</t>
  </si>
  <si>
    <t>эл.снабжение от ПС-110кВ Березняки</t>
  </si>
  <si>
    <t>Дальний</t>
  </si>
  <si>
    <t>п. Дальний</t>
  </si>
  <si>
    <t>Заморский</t>
  </si>
  <si>
    <t>п. Заморский</t>
  </si>
  <si>
    <t>Шестаково</t>
  </si>
  <si>
    <t>27,5/6</t>
  </si>
  <si>
    <t>п. Шестаково</t>
  </si>
  <si>
    <t>Иркутская обл., Усть-Илимский р-н.</t>
  </si>
  <si>
    <t xml:space="preserve">;uuu  </t>
  </si>
  <si>
    <t>220/35/10</t>
  </si>
  <si>
    <t>п. Невон</t>
  </si>
  <si>
    <t>эл.снабжение от УИТЭЦ</t>
  </si>
  <si>
    <t>Вереинская</t>
  </si>
  <si>
    <t>Лена</t>
  </si>
  <si>
    <t>г. Усть-Кут</t>
  </si>
  <si>
    <t>ул. Чернышевского 23а</t>
  </si>
  <si>
    <t>Т-5</t>
  </si>
  <si>
    <t>эл.снабжение от ПС-220кВ Лена</t>
  </si>
  <si>
    <t>ЦРММ</t>
  </si>
  <si>
    <t>северо-запад от Усть-Кутского МПК</t>
  </si>
  <si>
    <t>Подымахино</t>
  </si>
  <si>
    <t>Иркутская обл., Усть-Кутский р-н.</t>
  </si>
  <si>
    <t>п. Казарки</t>
  </si>
  <si>
    <t>Макарово</t>
  </si>
  <si>
    <t>Иркутская область, Киренский р-н.</t>
  </si>
  <si>
    <t>с. Макарово</t>
  </si>
  <si>
    <t>Покосное</t>
  </si>
  <si>
    <t>с. Покосное</t>
  </si>
  <si>
    <t>эл.снабжение от ПС-220кВ Покосное</t>
  </si>
  <si>
    <t>Александровка</t>
  </si>
  <si>
    <t>с. Александровка</t>
  </si>
  <si>
    <t>Большеокинск</t>
  </si>
  <si>
    <t>с. Большеокинск</t>
  </si>
  <si>
    <t>Добчур</t>
  </si>
  <si>
    <t>п. Добчур</t>
  </si>
  <si>
    <t>Калтук</t>
  </si>
  <si>
    <t>с. Калтук</t>
  </si>
  <si>
    <t>Кардой</t>
  </si>
  <si>
    <t>с. Казарки</t>
  </si>
  <si>
    <t>Ключи-Булак</t>
  </si>
  <si>
    <t>с. Ключи-Булак</t>
  </si>
  <si>
    <t>Кобь</t>
  </si>
  <si>
    <t>с. Кобь</t>
  </si>
  <si>
    <t>Куватка</t>
  </si>
  <si>
    <t>д. Куватка</t>
  </si>
  <si>
    <t>Леоново</t>
  </si>
  <si>
    <t>д. Леонова</t>
  </si>
  <si>
    <t>Октябрьская</t>
  </si>
  <si>
    <t>д. Октябрьская</t>
  </si>
  <si>
    <t>Тангуй</t>
  </si>
  <si>
    <t>с. Тэмь</t>
  </si>
  <si>
    <t>Тэмь</t>
  </si>
  <si>
    <t>Харанжино</t>
  </si>
  <si>
    <t>п. Харанжино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</si>
  <si>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</si>
  <si>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</si>
  <si>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</si>
  <si>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</si>
  <si>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</si>
  <si>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</si>
  <si>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</si>
  <si>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</si>
  <si>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</si>
  <si>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</si>
  <si>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</si>
  <si>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>Зона обслуживания Восточных электрических сетей</t>
  </si>
  <si>
    <t>Зона обслуживания Западных электрических сетей</t>
  </si>
  <si>
    <t>Зона обслуживания Южных электрических сетей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</si>
  <si>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</si>
  <si>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</si>
  <si>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</si>
  <si>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Осетрово</t>
  </si>
  <si>
    <t>северо-восток от вокзала ст.Лена</t>
  </si>
  <si>
    <t>Мощность по заключенным договорам ТП и(или) АГО</t>
  </si>
  <si>
    <t>эл.снабжение от ПС-110кВ Городская</t>
  </si>
  <si>
    <t>Чекановская</t>
  </si>
  <si>
    <t>ж.р. Чекановский</t>
  </si>
  <si>
    <t xml:space="preserve">Заводская           </t>
  </si>
  <si>
    <t>ж.р. Гидростроитель</t>
  </si>
  <si>
    <t>АТ-1</t>
  </si>
  <si>
    <t>АТ-2</t>
  </si>
  <si>
    <t>Киренга</t>
  </si>
  <si>
    <t>220/110/35/10</t>
  </si>
  <si>
    <t>Иркутская область, Казачинско - Ленский р-н.</t>
  </si>
  <si>
    <t>п. Магистральный</t>
  </si>
  <si>
    <t>эл.снабжение от ПС-110кВ Киренга</t>
  </si>
  <si>
    <t>Казачинская</t>
  </si>
  <si>
    <t>п. Окунайка</t>
  </si>
  <si>
    <t>Небель</t>
  </si>
  <si>
    <t>п. Небель</t>
  </si>
  <si>
    <t>Окунайка</t>
  </si>
  <si>
    <t>Талая</t>
  </si>
  <si>
    <t>35/0,4</t>
  </si>
  <si>
    <t>Иркутская область, Казач-Ленский р-н.</t>
  </si>
  <si>
    <t>п. Талый</t>
  </si>
  <si>
    <t>Верхнемарково</t>
  </si>
  <si>
    <t>п. Верхнемарково</t>
  </si>
  <si>
    <t>г. Ангарск</t>
  </si>
  <si>
    <t>Иркутская область, Ангарский район</t>
  </si>
  <si>
    <t>г.Ангарск</t>
  </si>
  <si>
    <t>Резерв мощности 
с учетом присоединенных потребителей и заключенных договоров ТП (105%)</t>
  </si>
  <si>
    <t>Максимальная потребляемая мощность (загрузка) по данным контрольного замера в 2019-2020г</t>
  </si>
  <si>
    <t>Все центры питания Западных электрических сетей не имеют резервов свободной мощности</t>
  </si>
  <si>
    <t>Загрузка с учетом реализации ТУ и договоров</t>
  </si>
  <si>
    <t>Примечание</t>
  </si>
  <si>
    <t>МВТ</t>
  </si>
  <si>
    <t>Зона обслуживания Центральных электрических сетей</t>
  </si>
  <si>
    <t>Иркутская(ГПП-1, ГПП-2)</t>
  </si>
  <si>
    <t>500/220/110/35/10/6</t>
  </si>
  <si>
    <t>Южный массив, квартал 2:  ГПП-1 - строение 2; ГПП-2 - строение 3</t>
  </si>
  <si>
    <t>АТ-8</t>
  </si>
  <si>
    <t>АТ-9</t>
  </si>
  <si>
    <t>АТ-10</t>
  </si>
  <si>
    <t>Подстанции 220-35 кВ, питающиеся от ПС 500/220/110/35/10/6 кВ Иркутская</t>
  </si>
  <si>
    <t>Прибрежная</t>
  </si>
  <si>
    <t>52.526319</t>
  </si>
  <si>
    <t>103.846172</t>
  </si>
  <si>
    <t>ПС Юбилейная</t>
  </si>
  <si>
    <t>база отдыха "Юбилейная"</t>
  </si>
  <si>
    <t>52.440907</t>
  </si>
  <si>
    <t>103.748417</t>
  </si>
  <si>
    <t>Промышленная</t>
  </si>
  <si>
    <t>Иркутская область, Ангарский р-н,</t>
  </si>
  <si>
    <t>с ю-з стороны территории Ангарского электро-механического завода</t>
  </si>
  <si>
    <t>52.513153</t>
  </si>
  <si>
    <t>103.907322</t>
  </si>
  <si>
    <t>УП-15</t>
  </si>
  <si>
    <t>52.340880</t>
  </si>
  <si>
    <t>103.532254</t>
  </si>
  <si>
    <t>Подстанции 110-35 кВ, питающиеся от ПС 110 кВ ТЭЦ-11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</si>
  <si>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</si>
  <si>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</si>
  <si>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</si>
  <si>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</si>
  <si>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</si>
  <si>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Белореченская</t>
  </si>
  <si>
    <t>п. Белореченский</t>
  </si>
  <si>
    <t>Подстанции 110-35 кВ, питающиеся от ПС 110 кВ Белореченская</t>
  </si>
  <si>
    <t>Молодежная</t>
  </si>
  <si>
    <t>35/11</t>
  </si>
  <si>
    <t>ПС Еловка</t>
  </si>
  <si>
    <t>ПС Мирная</t>
  </si>
  <si>
    <t>Максимальная потребляемая мощность (загрузка) по данным контрольного замера в 2020-2021г</t>
  </si>
  <si>
    <t>Максимальная потребляемая мощность (загрузка) по данным 2020-2021г</t>
  </si>
  <si>
    <t>Максимальная потребляемая мощность (загрузка) по данным контрольного замера 2020-2021г</t>
  </si>
  <si>
    <t>Резерв указан с учетом наличия свободной мощности на ПС 110 кВ Белореченская</t>
  </si>
  <si>
    <t>Резерв мощности с учётом наличия свободной мощности вышестоящего центра питания</t>
  </si>
  <si>
    <t>Резерв указан с учетом наличия свободной мощности на Седановский ПП 220 кВ</t>
  </si>
  <si>
    <t>Резерв указан с учетом наличия свободной мощности на ПС 220 кВ Рудногорская</t>
  </si>
  <si>
    <t>Резерв указан с учетом наличия свободной мощности на ПС 220 кВ Лена</t>
  </si>
  <si>
    <t>По 3 кат. надежн.
Резерв указан с учетом наличия свободной мощности на ПС 220 кВ Лена</t>
  </si>
  <si>
    <t>Максимальная потребляемая мощность (загрузка) по данным 2018г</t>
  </si>
  <si>
    <t>Все центры питания Южных электрических сетей не имеют резервов свободной мощности</t>
  </si>
  <si>
    <t>Все центры питания Восточных электрических сетей не имеют резервов свободной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</si>
</sst>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name val="Wingdings 3"/>
      <family val="1"/>
      <charset val="2"/>
    </font>
    <font>
      <b/>
      <sz val="10"/>
      <color rgb="FFFFFF00"/>
      <name val="Arial Cyr"/>
      <charset val="204"/>
    </font>
    <font>
      <sz val="10"/>
      <color theme="0"/>
      <name val="Arial Cyr"/>
      <charset val="204"/>
    </font>
    <font>
      <sz val="8"/>
      <name val="Arial"/>
      <family val="2"/>
      <charset val="204"/>
    </font>
    <font>
      <sz val="11"/>
      <name val="Tahoma"/>
      <family val="2"/>
      <charset val="204"/>
    </font>
    <font>
      <b/>
      <sz val="10"/>
      <color rgb="FFCCFFFF"/>
      <name val="Arial Cyr"/>
      <charset val="204"/>
    </font>
    <font>
      <b/>
      <sz val="10"/>
      <color rgb="FF00FF0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indexed="8"/>
      <name val="Arial"/>
      <family val="2"/>
      <charset val="204"/>
    </font>
    <font>
      <i/>
      <sz val="10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20"/>
      <color theme="1"/>
      <name val="Arial Cyr"/>
      <charset val="204"/>
    </font>
    <font>
      <sz val="10"/>
      <color rgb="FF0033CC"/>
      <name val="Arial"/>
      <family val="2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Arial Cyr"/>
      <charset val="204"/>
    </font>
    <font>
      <b/>
      <sz val="20"/>
      <color indexed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gradientFill degree="90">
        <stop position="0">
          <color theme="0"/>
        </stop>
        <stop position="0.5">
          <color rgb="FF00FF00"/>
        </stop>
        <stop position="1">
          <color theme="0"/>
        </stop>
      </gradient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8" fillId="0" borderId="0"/>
    <xf numFmtId="0" fontId="38" fillId="0" borderId="0"/>
  </cellStyleXfs>
  <cellXfs count="492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3" fillId="3" borderId="3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 shrinkToFi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top"/>
    </xf>
    <xf numFmtId="164" fontId="14" fillId="3" borderId="3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 shrinkToFit="1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vertical="center"/>
    </xf>
    <xf numFmtId="0" fontId="17" fillId="7" borderId="4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vertical="center"/>
    </xf>
    <xf numFmtId="0" fontId="15" fillId="7" borderId="4" xfId="0" applyNumberFormat="1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9" fillId="8" borderId="2" xfId="0" applyFont="1" applyFill="1" applyBorder="1" applyAlignment="1">
      <alignment horizontal="right"/>
    </xf>
    <xf numFmtId="0" fontId="20" fillId="8" borderId="4" xfId="0" applyFont="1" applyFill="1" applyBorder="1" applyAlignment="1">
      <alignment horizontal="left" vertical="center"/>
    </xf>
    <xf numFmtId="165" fontId="9" fillId="8" borderId="4" xfId="0" applyNumberFormat="1" applyFont="1" applyFill="1" applyBorder="1" applyAlignment="1">
      <alignment horizontal="center" vertical="center"/>
    </xf>
    <xf numFmtId="0" fontId="21" fillId="8" borderId="4" xfId="0" applyNumberFormat="1" applyFont="1" applyFill="1" applyBorder="1" applyAlignment="1">
      <alignment horizontal="center" vertical="center"/>
    </xf>
    <xf numFmtId="164" fontId="14" fillId="8" borderId="4" xfId="0" applyNumberFormat="1" applyFont="1" applyFill="1" applyBorder="1" applyAlignment="1">
      <alignment horizontal="center" vertical="center"/>
    </xf>
    <xf numFmtId="165" fontId="14" fillId="8" borderId="4" xfId="0" applyNumberFormat="1" applyFont="1" applyFill="1" applyBorder="1" applyAlignment="1">
      <alignment horizontal="center" vertical="center"/>
    </xf>
    <xf numFmtId="165" fontId="3" fillId="8" borderId="15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center" vertical="center" wrapText="1" shrinkToFit="1"/>
    </xf>
    <xf numFmtId="165" fontId="3" fillId="8" borderId="4" xfId="0" applyNumberFormat="1" applyFont="1" applyFill="1" applyBorder="1" applyAlignment="1">
      <alignment horizontal="center" vertical="center"/>
    </xf>
    <xf numFmtId="0" fontId="13" fillId="8" borderId="4" xfId="0" applyNumberFormat="1" applyFont="1" applyFill="1" applyBorder="1" applyAlignment="1">
      <alignment horizontal="center" vertical="center"/>
    </xf>
    <xf numFmtId="0" fontId="13" fillId="8" borderId="4" xfId="0" applyNumberFormat="1" applyFont="1" applyFill="1" applyBorder="1" applyAlignment="1">
      <alignment horizontal="center" vertical="center" wrapText="1" shrinkToFit="1"/>
    </xf>
    <xf numFmtId="165" fontId="22" fillId="0" borderId="6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164" fontId="23" fillId="0" borderId="1" xfId="0" applyNumberFormat="1" applyFont="1" applyFill="1" applyBorder="1" applyAlignment="1">
      <alignment horizontal="right" vertical="center" indent="1"/>
    </xf>
    <xf numFmtId="0" fontId="9" fillId="0" borderId="1" xfId="0" applyNumberFormat="1" applyFont="1" applyFill="1" applyBorder="1" applyAlignment="1">
      <alignment horizontal="right" vertical="center" indent="1"/>
    </xf>
    <xf numFmtId="0" fontId="9" fillId="0" borderId="1" xfId="0" applyNumberFormat="1" applyFont="1" applyBorder="1" applyAlignment="1">
      <alignment horizontal="right" vertical="center" indent="1"/>
    </xf>
    <xf numFmtId="165" fontId="3" fillId="0" borderId="1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right" vertical="center" indent="1"/>
    </xf>
    <xf numFmtId="165" fontId="3" fillId="0" borderId="2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14" fillId="0" borderId="4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165" fontId="3" fillId="0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5" fontId="9" fillId="0" borderId="18" xfId="0" applyNumberFormat="1" applyFont="1" applyFill="1" applyBorder="1" applyAlignment="1">
      <alignment horizontal="right" vertical="center"/>
    </xf>
    <xf numFmtId="164" fontId="14" fillId="0" borderId="8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 shrinkToFit="1"/>
    </xf>
    <xf numFmtId="0" fontId="15" fillId="8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/>
    </xf>
    <xf numFmtId="164" fontId="23" fillId="0" borderId="5" xfId="0" applyNumberFormat="1" applyFont="1" applyFill="1" applyBorder="1" applyAlignment="1">
      <alignment horizontal="center"/>
    </xf>
    <xf numFmtId="0" fontId="19" fillId="9" borderId="2" xfId="0" applyFont="1" applyFill="1" applyBorder="1" applyAlignment="1">
      <alignment horizontal="right"/>
    </xf>
    <xf numFmtId="0" fontId="24" fillId="9" borderId="4" xfId="0" applyFont="1" applyFill="1" applyBorder="1" applyAlignment="1">
      <alignment horizontal="left" vertical="center"/>
    </xf>
    <xf numFmtId="164" fontId="14" fillId="9" borderId="4" xfId="0" applyNumberFormat="1" applyFont="1" applyFill="1" applyBorder="1" applyAlignment="1">
      <alignment horizontal="center" vertical="center"/>
    </xf>
    <xf numFmtId="165" fontId="14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4" xfId="0" applyNumberFormat="1" applyFont="1" applyFill="1" applyBorder="1" applyAlignment="1">
      <alignment horizontal="center" vertical="center" wrapText="1" shrinkToFit="1"/>
    </xf>
    <xf numFmtId="0" fontId="13" fillId="9" borderId="4" xfId="0" applyNumberFormat="1" applyFont="1" applyFill="1" applyBorder="1" applyAlignment="1">
      <alignment horizontal="center" vertical="center"/>
    </xf>
    <xf numFmtId="0" fontId="13" fillId="9" borderId="4" xfId="0" applyNumberFormat="1" applyFont="1" applyFill="1" applyBorder="1" applyAlignment="1">
      <alignment horizontal="center" vertical="center" wrapText="1" shrinkToFit="1"/>
    </xf>
    <xf numFmtId="165" fontId="22" fillId="9" borderId="6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 shrinkToFit="1"/>
    </xf>
    <xf numFmtId="165" fontId="9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 shrinkToFit="1"/>
    </xf>
    <xf numFmtId="0" fontId="9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 wrapText="1" shrinkToFit="1"/>
    </xf>
    <xf numFmtId="0" fontId="15" fillId="9" borderId="1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right"/>
    </xf>
    <xf numFmtId="0" fontId="25" fillId="10" borderId="4" xfId="0" applyFont="1" applyFill="1" applyBorder="1" applyAlignment="1">
      <alignment horizontal="left" vertical="center"/>
    </xf>
    <xf numFmtId="164" fontId="9" fillId="10" borderId="4" xfId="0" applyNumberFormat="1" applyFont="1" applyFill="1" applyBorder="1" applyAlignment="1">
      <alignment horizontal="center" vertical="center"/>
    </xf>
    <xf numFmtId="165" fontId="9" fillId="10" borderId="4" xfId="0" applyNumberFormat="1" applyFont="1" applyFill="1" applyBorder="1" applyAlignment="1">
      <alignment horizontal="center" vertical="center"/>
    </xf>
    <xf numFmtId="0" fontId="21" fillId="10" borderId="4" xfId="0" applyNumberFormat="1" applyFont="1" applyFill="1" applyBorder="1" applyAlignment="1">
      <alignment horizontal="center" vertical="center"/>
    </xf>
    <xf numFmtId="164" fontId="14" fillId="10" borderId="4" xfId="0" applyNumberFormat="1" applyFont="1" applyFill="1" applyBorder="1" applyAlignment="1">
      <alignment horizontal="center" vertical="center"/>
    </xf>
    <xf numFmtId="165" fontId="14" fillId="10" borderId="4" xfId="0" applyNumberFormat="1" applyFont="1" applyFill="1" applyBorder="1" applyAlignment="1">
      <alignment horizontal="center" vertical="center"/>
    </xf>
    <xf numFmtId="165" fontId="3" fillId="10" borderId="15" xfId="0" applyNumberFormat="1" applyFont="1" applyFill="1" applyBorder="1" applyAlignment="1">
      <alignment horizontal="center" vertical="center"/>
    </xf>
    <xf numFmtId="165" fontId="3" fillId="10" borderId="4" xfId="0" applyNumberFormat="1" applyFont="1" applyFill="1" applyBorder="1" applyAlignment="1">
      <alignment horizontal="center" vertical="center" wrapText="1" shrinkToFit="1"/>
    </xf>
    <xf numFmtId="165" fontId="3" fillId="10" borderId="4" xfId="0" applyNumberFormat="1" applyFont="1" applyFill="1" applyBorder="1" applyAlignment="1">
      <alignment horizontal="center" vertical="center"/>
    </xf>
    <xf numFmtId="0" fontId="13" fillId="10" borderId="4" xfId="0" applyNumberFormat="1" applyFont="1" applyFill="1" applyBorder="1" applyAlignment="1">
      <alignment horizontal="center" vertical="center"/>
    </xf>
    <xf numFmtId="0" fontId="13" fillId="10" borderId="4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27" fillId="0" borderId="5" xfId="0" applyNumberFormat="1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 shrinkToFi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 shrinkToFit="1"/>
    </xf>
    <xf numFmtId="165" fontId="14" fillId="0" borderId="1" xfId="0" applyNumberFormat="1" applyFont="1" applyFill="1" applyBorder="1" applyAlignment="1">
      <alignment horizontal="center" vertical="center"/>
    </xf>
    <xf numFmtId="0" fontId="0" fillId="11" borderId="0" xfId="0" applyFill="1" applyBorder="1" applyAlignment="1">
      <alignment horizontal="left" vertical="center"/>
    </xf>
    <xf numFmtId="0" fontId="0" fillId="11" borderId="0" xfId="0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 indent="1"/>
    </xf>
    <xf numFmtId="0" fontId="13" fillId="0" borderId="1" xfId="0" applyFont="1" applyFill="1" applyBorder="1" applyAlignment="1">
      <alignment vertical="center" wrapText="1"/>
    </xf>
    <xf numFmtId="164" fontId="23" fillId="0" borderId="3" xfId="0" applyNumberFormat="1" applyFont="1" applyFill="1" applyBorder="1" applyAlignment="1">
      <alignment horizontal="right" vertical="center" indent="1"/>
    </xf>
    <xf numFmtId="0" fontId="9" fillId="0" borderId="8" xfId="0" applyNumberFormat="1" applyFont="1" applyFill="1" applyBorder="1" applyAlignment="1">
      <alignment horizontal="right" vertical="center" indent="1"/>
    </xf>
    <xf numFmtId="0" fontId="9" fillId="0" borderId="5" xfId="0" applyNumberFormat="1" applyFont="1" applyBorder="1" applyAlignment="1">
      <alignment horizontal="right" vertical="center" indent="1"/>
    </xf>
    <xf numFmtId="165" fontId="3" fillId="0" borderId="5" xfId="0" applyNumberFormat="1" applyFont="1" applyFill="1" applyBorder="1" applyAlignment="1">
      <alignment horizontal="right" vertical="center" indent="1"/>
    </xf>
    <xf numFmtId="165" fontId="3" fillId="0" borderId="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 vertical="center" wrapText="1" shrinkToFit="1"/>
    </xf>
    <xf numFmtId="0" fontId="13" fillId="8" borderId="10" xfId="0" applyNumberFormat="1" applyFont="1" applyFill="1" applyBorder="1" applyAlignment="1">
      <alignment horizontal="center" vertical="center"/>
    </xf>
    <xf numFmtId="0" fontId="13" fillId="8" borderId="10" xfId="0" applyNumberFormat="1" applyFont="1" applyFill="1" applyBorder="1" applyAlignment="1">
      <alignment horizontal="center" vertical="center" wrapText="1" shrinkToFit="1"/>
    </xf>
    <xf numFmtId="0" fontId="15" fillId="8" borderId="3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8" borderId="3" xfId="0" applyFont="1" applyFill="1" applyBorder="1" applyAlignment="1">
      <alignment vertical="center" wrapText="1"/>
    </xf>
    <xf numFmtId="2" fontId="23" fillId="0" borderId="3" xfId="0" applyNumberFormat="1" applyFont="1" applyFill="1" applyBorder="1" applyAlignment="1">
      <alignment horizontal="right" vertical="center" indent="1"/>
    </xf>
    <xf numFmtId="165" fontId="3" fillId="8" borderId="15" xfId="0" applyNumberFormat="1" applyFont="1" applyFill="1" applyBorder="1" applyAlignment="1">
      <alignment horizontal="center" vertical="center" wrapText="1" shrinkToFit="1"/>
    </xf>
    <xf numFmtId="0" fontId="13" fillId="8" borderId="15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/>
    </xf>
    <xf numFmtId="165" fontId="3" fillId="9" borderId="10" xfId="0" applyNumberFormat="1" applyFont="1" applyFill="1" applyBorder="1" applyAlignment="1">
      <alignment horizontal="center" vertical="center" wrapText="1" shrinkToFit="1"/>
    </xf>
    <xf numFmtId="0" fontId="13" fillId="9" borderId="10" xfId="0" applyNumberFormat="1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vertical="center" wrapText="1" shrinkToFi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4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5" fontId="9" fillId="0" borderId="16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1" fillId="13" borderId="4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6" borderId="1" xfId="0" applyFont="1" applyFill="1" applyBorder="1" applyAlignment="1">
      <alignment vertical="center"/>
    </xf>
    <xf numFmtId="0" fontId="2" fillId="16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14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165" fontId="32" fillId="0" borderId="3" xfId="0" applyNumberFormat="1" applyFont="1" applyBorder="1" applyAlignment="1">
      <alignment horizontal="center" vertical="center"/>
    </xf>
    <xf numFmtId="164" fontId="3" fillId="15" borderId="2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 shrinkToFit="1"/>
    </xf>
    <xf numFmtId="0" fontId="8" fillId="0" borderId="24" xfId="0" applyFont="1" applyBorder="1" applyAlignment="1">
      <alignment vertical="center" wrapText="1" shrinkToFit="1"/>
    </xf>
    <xf numFmtId="49" fontId="2" fillId="0" borderId="21" xfId="0" applyNumberFormat="1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7" fillId="7" borderId="4" xfId="0" applyNumberFormat="1" applyFont="1" applyFill="1" applyBorder="1" applyAlignment="1">
      <alignment vertical="center"/>
    </xf>
    <xf numFmtId="164" fontId="9" fillId="8" borderId="4" xfId="0" applyNumberFormat="1" applyFont="1" applyFill="1" applyBorder="1" applyAlignment="1">
      <alignment horizontal="center" vertical="center"/>
    </xf>
    <xf numFmtId="164" fontId="23" fillId="0" borderId="2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center"/>
    </xf>
    <xf numFmtId="164" fontId="9" fillId="0" borderId="1" xfId="4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165" fontId="36" fillId="17" borderId="2" xfId="0" applyNumberFormat="1" applyFont="1" applyFill="1" applyBorder="1" applyAlignment="1">
      <alignment horizontal="right" vertical="center" indent="1"/>
    </xf>
    <xf numFmtId="0" fontId="9" fillId="0" borderId="1" xfId="0" applyNumberFormat="1" applyFont="1" applyFill="1" applyBorder="1" applyAlignment="1">
      <alignment horizontal="center" vertical="center"/>
    </xf>
    <xf numFmtId="165" fontId="0" fillId="10" borderId="4" xfId="0" applyNumberFormat="1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center" indent="1"/>
    </xf>
    <xf numFmtId="0" fontId="0" fillId="0" borderId="4" xfId="0" applyNumberFormat="1" applyFill="1" applyBorder="1" applyAlignment="1">
      <alignment horizontal="right" vertical="center" indent="1"/>
    </xf>
    <xf numFmtId="164" fontId="23" fillId="0" borderId="1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top"/>
    </xf>
    <xf numFmtId="165" fontId="9" fillId="8" borderId="4" xfId="0" applyNumberFormat="1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right" vertical="center" indent="1"/>
    </xf>
    <xf numFmtId="0" fontId="0" fillId="0" borderId="0" xfId="0" applyNumberFormat="1" applyFill="1" applyBorder="1" applyAlignment="1">
      <alignment horizontal="right" vertical="center" indent="1"/>
    </xf>
    <xf numFmtId="165" fontId="9" fillId="0" borderId="17" xfId="0" applyNumberFormat="1" applyFont="1" applyFill="1" applyBorder="1" applyAlignment="1">
      <alignment horizontal="center" vertical="top"/>
    </xf>
    <xf numFmtId="165" fontId="23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 inden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/>
    </xf>
    <xf numFmtId="165" fontId="9" fillId="0" borderId="1" xfId="0" applyNumberFormat="1" applyFont="1" applyFill="1" applyBorder="1" applyAlignment="1">
      <alignment horizontal="center" vertical="top"/>
    </xf>
    <xf numFmtId="165" fontId="9" fillId="9" borderId="4" xfId="0" applyNumberFormat="1" applyFont="1" applyFill="1" applyBorder="1" applyAlignment="1">
      <alignment horizontal="right" vertical="top"/>
    </xf>
    <xf numFmtId="0" fontId="21" fillId="9" borderId="10" xfId="0" applyNumberFormat="1" applyFont="1" applyFill="1" applyBorder="1" applyAlignment="1">
      <alignment horizontal="center" vertical="center"/>
    </xf>
    <xf numFmtId="164" fontId="9" fillId="9" borderId="4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center" vertical="top"/>
    </xf>
    <xf numFmtId="164" fontId="9" fillId="9" borderId="10" xfId="0" applyNumberFormat="1" applyFont="1" applyFill="1" applyBorder="1" applyAlignment="1">
      <alignment horizontal="right" vertical="center"/>
    </xf>
    <xf numFmtId="0" fontId="29" fillId="0" borderId="1" xfId="4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30" fillId="15" borderId="2" xfId="0" applyNumberFormat="1" applyFont="1" applyFill="1" applyBorder="1" applyAlignment="1">
      <alignment vertical="center"/>
    </xf>
    <xf numFmtId="164" fontId="30" fillId="15" borderId="4" xfId="0" applyNumberFormat="1" applyFont="1" applyFill="1" applyBorder="1" applyAlignment="1">
      <alignment vertical="center"/>
    </xf>
    <xf numFmtId="164" fontId="30" fillId="15" borderId="6" xfId="0" applyNumberFormat="1" applyFont="1" applyFill="1" applyBorder="1" applyAlignment="1">
      <alignment vertical="center"/>
    </xf>
    <xf numFmtId="164" fontId="9" fillId="9" borderId="4" xfId="0" applyNumberFormat="1" applyFont="1" applyFill="1" applyBorder="1" applyAlignment="1">
      <alignment horizontal="center" vertical="center"/>
    </xf>
    <xf numFmtId="165" fontId="9" fillId="9" borderId="4" xfId="0" applyNumberFormat="1" applyFont="1" applyFill="1" applyBorder="1" applyAlignment="1">
      <alignment horizontal="center" vertical="center"/>
    </xf>
    <xf numFmtId="165" fontId="9" fillId="9" borderId="10" xfId="0" applyNumberFormat="1" applyFont="1" applyFill="1" applyBorder="1" applyAlignment="1">
      <alignment horizontal="center" vertical="center"/>
    </xf>
    <xf numFmtId="0" fontId="31" fillId="13" borderId="2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0" fontId="2" fillId="18" borderId="0" xfId="0" applyFont="1" applyFill="1" applyBorder="1" applyAlignment="1">
      <alignment horizontal="center" vertical="center"/>
    </xf>
    <xf numFmtId="164" fontId="14" fillId="18" borderId="0" xfId="0" applyNumberFormat="1" applyFont="1" applyFill="1" applyBorder="1" applyAlignment="1">
      <alignment horizontal="center" vertical="center"/>
    </xf>
    <xf numFmtId="0" fontId="14" fillId="18" borderId="0" xfId="0" applyFont="1" applyFill="1" applyBorder="1" applyAlignment="1">
      <alignment horizontal="center" vertical="center"/>
    </xf>
    <xf numFmtId="0" fontId="9" fillId="18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18" borderId="0" xfId="0" applyFill="1" applyBorder="1" applyAlignment="1">
      <alignment vertical="center"/>
    </xf>
    <xf numFmtId="0" fontId="9" fillId="18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vertical="top"/>
    </xf>
    <xf numFmtId="165" fontId="9" fillId="0" borderId="19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 applyAlignment="1">
      <alignment horizontal="center" vertical="center"/>
    </xf>
    <xf numFmtId="165" fontId="14" fillId="0" borderId="8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18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/>
    </xf>
    <xf numFmtId="165" fontId="39" fillId="0" borderId="1" xfId="0" applyNumberFormat="1" applyFont="1" applyFill="1" applyBorder="1" applyAlignment="1">
      <alignment horizontal="center" vertical="center"/>
    </xf>
    <xf numFmtId="164" fontId="2" fillId="14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19" borderId="1" xfId="0" applyFont="1" applyFill="1" applyBorder="1" applyAlignment="1">
      <alignment vertical="center"/>
    </xf>
    <xf numFmtId="0" fontId="14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vertical="center"/>
    </xf>
    <xf numFmtId="0" fontId="6" fillId="14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164" fontId="2" fillId="14" borderId="2" xfId="0" applyNumberFormat="1" applyFont="1" applyFill="1" applyBorder="1" applyAlignment="1">
      <alignment horizontal="center" vertical="top"/>
    </xf>
    <xf numFmtId="2" fontId="2" fillId="14" borderId="1" xfId="0" applyNumberFormat="1" applyFont="1" applyFill="1" applyBorder="1" applyAlignment="1">
      <alignment horizontal="center" vertical="top"/>
    </xf>
    <xf numFmtId="165" fontId="3" fillId="14" borderId="1" xfId="0" applyNumberFormat="1" applyFont="1" applyFill="1" applyBorder="1" applyAlignment="1">
      <alignment horizontal="center" vertical="top"/>
    </xf>
    <xf numFmtId="165" fontId="3" fillId="14" borderId="1" xfId="0" applyNumberFormat="1" applyFont="1" applyFill="1" applyBorder="1" applyAlignment="1">
      <alignment horizontal="center" vertical="center"/>
    </xf>
    <xf numFmtId="164" fontId="3" fillId="14" borderId="2" xfId="0" applyNumberFormat="1" applyFont="1" applyFill="1" applyBorder="1" applyAlignment="1">
      <alignment horizontal="center" vertical="top"/>
    </xf>
    <xf numFmtId="2" fontId="3" fillId="14" borderId="1" xfId="0" applyNumberFormat="1" applyFont="1" applyFill="1" applyBorder="1" applyAlignment="1">
      <alignment horizontal="center" vertical="top"/>
    </xf>
    <xf numFmtId="0" fontId="2" fillId="18" borderId="2" xfId="0" applyFont="1" applyFill="1" applyBorder="1" applyAlignment="1">
      <alignment vertical="center"/>
    </xf>
    <xf numFmtId="0" fontId="2" fillId="18" borderId="4" xfId="0" applyFont="1" applyFill="1" applyBorder="1" applyAlignment="1">
      <alignment vertical="center"/>
    </xf>
    <xf numFmtId="0" fontId="3" fillId="18" borderId="2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vertical="center"/>
    </xf>
    <xf numFmtId="0" fontId="7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165" fontId="2" fillId="14" borderId="8" xfId="0" applyNumberFormat="1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165" fontId="40" fillId="14" borderId="1" xfId="0" applyNumberFormat="1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165" fontId="14" fillId="10" borderId="15" xfId="0" applyNumberFormat="1" applyFont="1" applyFill="1" applyBorder="1" applyAlignment="1">
      <alignment horizontal="center" vertical="center"/>
    </xf>
    <xf numFmtId="165" fontId="14" fillId="8" borderId="10" xfId="0" applyNumberFormat="1" applyFont="1" applyFill="1" applyBorder="1" applyAlignment="1">
      <alignment horizontal="center" vertical="center"/>
    </xf>
    <xf numFmtId="165" fontId="14" fillId="8" borderId="15" xfId="0" applyNumberFormat="1" applyFont="1" applyFill="1" applyBorder="1" applyAlignment="1">
      <alignment horizontal="center" vertical="center"/>
    </xf>
    <xf numFmtId="165" fontId="14" fillId="9" borderId="10" xfId="0" applyNumberFormat="1" applyFont="1" applyFill="1" applyBorder="1" applyAlignment="1">
      <alignment horizontal="center" vertical="center"/>
    </xf>
    <xf numFmtId="165" fontId="41" fillId="0" borderId="1" xfId="0" applyNumberFormat="1" applyFont="1" applyFill="1" applyBorder="1" applyAlignment="1">
      <alignment horizontal="center" vertical="center"/>
    </xf>
    <xf numFmtId="0" fontId="34" fillId="13" borderId="28" xfId="0" applyFont="1" applyFill="1" applyBorder="1" applyAlignment="1">
      <alignment horizontal="center" vertical="center" wrapText="1" shrinkToFit="1"/>
    </xf>
    <xf numFmtId="0" fontId="9" fillId="18" borderId="18" xfId="0" applyFont="1" applyFill="1" applyBorder="1" applyAlignment="1">
      <alignment horizontal="left" vertical="center" wrapText="1"/>
    </xf>
    <xf numFmtId="0" fontId="31" fillId="1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center" wrapText="1" shrinkToFit="1"/>
    </xf>
    <xf numFmtId="165" fontId="3" fillId="0" borderId="17" xfId="0" applyNumberFormat="1" applyFont="1" applyFill="1" applyBorder="1" applyAlignment="1">
      <alignment horizontal="center" vertical="center" wrapText="1" shrinkToFit="1"/>
    </xf>
    <xf numFmtId="165" fontId="3" fillId="0" borderId="19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 shrinkToFi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 wrapText="1" shrinkToFit="1"/>
    </xf>
    <xf numFmtId="0" fontId="7" fillId="0" borderId="30" xfId="0" applyFont="1" applyBorder="1" applyAlignment="1">
      <alignment vertical="center"/>
    </xf>
    <xf numFmtId="0" fontId="30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1" fillId="13" borderId="4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64" fontId="42" fillId="0" borderId="7" xfId="0" applyNumberFormat="1" applyFont="1" applyFill="1" applyBorder="1" applyAlignment="1">
      <alignment horizontal="center" vertical="center"/>
    </xf>
    <xf numFmtId="164" fontId="42" fillId="0" borderId="15" xfId="0" applyNumberFormat="1" applyFont="1" applyFill="1" applyBorder="1" applyAlignment="1">
      <alignment horizontal="center" vertical="center"/>
    </xf>
    <xf numFmtId="164" fontId="42" fillId="0" borderId="14" xfId="0" applyNumberFormat="1" applyFont="1" applyFill="1" applyBorder="1" applyAlignment="1">
      <alignment horizontal="center" vertical="center"/>
    </xf>
    <xf numFmtId="164" fontId="42" fillId="0" borderId="19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164" fontId="42" fillId="0" borderId="18" xfId="0" applyNumberFormat="1" applyFont="1" applyFill="1" applyBorder="1" applyAlignment="1">
      <alignment horizontal="center" vertical="center"/>
    </xf>
    <xf numFmtId="164" fontId="42" fillId="0" borderId="17" xfId="0" applyNumberFormat="1" applyFont="1" applyFill="1" applyBorder="1" applyAlignment="1">
      <alignment horizontal="center" vertical="center"/>
    </xf>
    <xf numFmtId="164" fontId="42" fillId="0" borderId="10" xfId="0" applyNumberFormat="1" applyFont="1" applyFill="1" applyBorder="1" applyAlignment="1">
      <alignment horizontal="center" vertical="center"/>
    </xf>
    <xf numFmtId="164" fontId="42" fillId="0" borderId="16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4" fillId="13" borderId="7" xfId="0" applyFont="1" applyFill="1" applyBorder="1" applyAlignment="1">
      <alignment horizontal="center" vertical="center"/>
    </xf>
    <xf numFmtId="0" fontId="34" fillId="13" borderId="15" xfId="0" applyFont="1" applyFill="1" applyBorder="1" applyAlignment="1">
      <alignment horizontal="center" vertical="center"/>
    </xf>
    <xf numFmtId="0" fontId="34" fillId="13" borderId="14" xfId="0" applyFont="1" applyFill="1" applyBorder="1" applyAlignment="1">
      <alignment horizontal="center" vertical="center"/>
    </xf>
    <xf numFmtId="164" fontId="26" fillId="0" borderId="5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 shrinkToFit="1"/>
    </xf>
    <xf numFmtId="164" fontId="28" fillId="0" borderId="3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8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 shrinkToFit="1"/>
    </xf>
    <xf numFmtId="165" fontId="3" fillId="0" borderId="7" xfId="0" applyNumberFormat="1" applyFont="1" applyFill="1" applyBorder="1" applyAlignment="1">
      <alignment horizontal="center" vertical="center" wrapText="1" shrinkToFit="1"/>
    </xf>
    <xf numFmtId="165" fontId="3" fillId="0" borderId="19" xfId="0" applyNumberFormat="1" applyFont="1" applyFill="1" applyBorder="1" applyAlignment="1">
      <alignment horizontal="center" vertical="center" wrapText="1" shrinkToFit="1"/>
    </xf>
    <xf numFmtId="165" fontId="3" fillId="0" borderId="17" xfId="0" applyNumberFormat="1" applyFont="1" applyFill="1" applyBorder="1" applyAlignment="1">
      <alignment horizontal="center" vertical="center" wrapText="1" shrinkToFit="1"/>
    </xf>
    <xf numFmtId="165" fontId="39" fillId="0" borderId="5" xfId="0" applyNumberFormat="1" applyFont="1" applyFill="1" applyBorder="1" applyAlignment="1">
      <alignment horizontal="center" vertical="center" wrapText="1" shrinkToFit="1"/>
    </xf>
    <xf numFmtId="165" fontId="39" fillId="0" borderId="8" xfId="0" applyNumberFormat="1" applyFont="1" applyFill="1" applyBorder="1" applyAlignment="1">
      <alignment horizontal="center" vertical="center" wrapText="1" shrinkToFit="1"/>
    </xf>
    <xf numFmtId="165" fontId="39" fillId="0" borderId="3" xfId="0" applyNumberFormat="1" applyFont="1" applyFill="1" applyBorder="1" applyAlignment="1">
      <alignment horizontal="center" vertical="center" wrapText="1" shrinkToFit="1"/>
    </xf>
    <xf numFmtId="164" fontId="39" fillId="0" borderId="5" xfId="0" applyNumberFormat="1" applyFont="1" applyFill="1" applyBorder="1" applyAlignment="1">
      <alignment horizontal="center" vertical="center" wrapText="1" shrinkToFit="1"/>
    </xf>
    <xf numFmtId="164" fontId="39" fillId="0" borderId="3" xfId="0" applyNumberFormat="1" applyFont="1" applyFill="1" applyBorder="1" applyAlignment="1">
      <alignment horizontal="center" vertical="center" wrapText="1" shrinkToFi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40" fillId="3" borderId="7" xfId="0" applyFont="1" applyFill="1" applyBorder="1" applyAlignment="1">
      <alignment horizontal="center" vertical="top" wrapText="1"/>
    </xf>
    <xf numFmtId="0" fontId="40" fillId="3" borderId="3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2" fontId="37" fillId="0" borderId="5" xfId="0" applyNumberFormat="1" applyFont="1" applyFill="1" applyBorder="1" applyAlignment="1">
      <alignment horizontal="center" vertical="center" wrapText="1"/>
    </xf>
    <xf numFmtId="2" fontId="37" fillId="0" borderId="8" xfId="0" applyNumberFormat="1" applyFont="1" applyFill="1" applyBorder="1" applyAlignment="1">
      <alignment horizontal="center" vertical="center" wrapText="1"/>
    </xf>
    <xf numFmtId="2" fontId="37" fillId="0" borderId="3" xfId="0" applyNumberFormat="1" applyFont="1" applyFill="1" applyBorder="1" applyAlignment="1">
      <alignment horizontal="center" vertical="center" wrapText="1"/>
    </xf>
    <xf numFmtId="2" fontId="37" fillId="0" borderId="5" xfId="0" applyNumberFormat="1" applyFont="1" applyFill="1" applyBorder="1" applyAlignment="1">
      <alignment horizontal="center" vertical="center"/>
    </xf>
    <xf numFmtId="2" fontId="37" fillId="0" borderId="8" xfId="0" applyNumberFormat="1" applyFont="1" applyFill="1" applyBorder="1" applyAlignment="1">
      <alignment horizontal="center" vertical="center"/>
    </xf>
    <xf numFmtId="2" fontId="37" fillId="0" borderId="3" xfId="0" applyNumberFormat="1" applyFont="1" applyFill="1" applyBorder="1" applyAlignment="1">
      <alignment horizontal="center" vertical="center"/>
    </xf>
    <xf numFmtId="164" fontId="28" fillId="0" borderId="8" xfId="0" applyNumberFormat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18" borderId="0" xfId="0" applyFont="1" applyFill="1" applyBorder="1" applyAlignment="1">
      <alignment horizontal="left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19" xfId="0" applyNumberFormat="1" applyFont="1" applyFill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0" fontId="34" fillId="13" borderId="26" xfId="0" applyFont="1" applyFill="1" applyBorder="1" applyAlignment="1">
      <alignment horizontal="center" vertical="center"/>
    </xf>
    <xf numFmtId="0" fontId="34" fillId="13" borderId="1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/>
    </xf>
    <xf numFmtId="165" fontId="39" fillId="0" borderId="5" xfId="0" applyNumberFormat="1" applyFont="1" applyFill="1" applyBorder="1" applyAlignment="1">
      <alignment horizontal="center" vertical="center" wrapText="1"/>
    </xf>
    <xf numFmtId="165" fontId="39" fillId="0" borderId="8" xfId="0" applyNumberFormat="1" applyFont="1" applyFill="1" applyBorder="1" applyAlignment="1">
      <alignment horizontal="center" vertical="center" wrapText="1"/>
    </xf>
    <xf numFmtId="165" fontId="39" fillId="0" borderId="3" xfId="0" applyNumberFormat="1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/>
    </xf>
    <xf numFmtId="0" fontId="31" fillId="13" borderId="4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  <cellStyle name="Обычный 5" xfId="6"/>
    <cellStyle name="Обычный 7" xfId="5"/>
  </cellStyles>
  <dxfs count="179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"/>
  <sheetViews>
    <sheetView zoomScale="65" zoomScaleNormal="65" workbookViewId="0">
      <pane ySplit="1" topLeftCell="A2" activePane="bottomLeft" state="frozen"/>
      <selection activeCell="W7" sqref="W7:W9"/>
      <selection pane="bottomLeft" sqref="A1:Y1"/>
    </sheetView>
  </sheetViews>
  <sheetFormatPr defaultRowHeight="14.25" x14ac:dyDescent="0.25"/>
  <cols>
    <col min="1" max="1" width="28.7109375" style="9" customWidth="1"/>
    <col min="2" max="2" width="11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4.42578125" style="10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5703125" style="10" customWidth="1"/>
    <col min="20" max="20" width="26.7109375" style="3" customWidth="1" collapsed="1"/>
    <col min="21" max="21" width="28.7109375" style="3" customWidth="1"/>
    <col min="22" max="22" width="19.42578125" style="3" customWidth="1"/>
    <col min="23" max="23" width="13.85546875" style="3" customWidth="1"/>
    <col min="24" max="24" width="14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400" t="s">
        <v>171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</row>
    <row r="2" spans="1:31" s="5" customFormat="1" ht="21" thickBot="1" x14ac:dyDescent="0.3">
      <c r="A2" s="14"/>
      <c r="B2" s="2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401" t="s">
        <v>14</v>
      </c>
      <c r="U2" s="402"/>
      <c r="V2" s="403"/>
      <c r="W2" s="404" t="s">
        <v>16</v>
      </c>
      <c r="X2" s="405"/>
      <c r="Y2" s="242"/>
      <c r="Z2" s="4"/>
      <c r="AA2" s="4"/>
      <c r="AB2" s="4"/>
      <c r="AC2" s="4"/>
      <c r="AD2" s="4"/>
      <c r="AE2" s="4"/>
    </row>
    <row r="3" spans="1:31" s="213" customFormat="1" ht="90" thickBot="1" x14ac:dyDescent="0.3">
      <c r="A3" s="205" t="s">
        <v>155</v>
      </c>
      <c r="B3" s="243" t="s">
        <v>156</v>
      </c>
      <c r="C3" s="206" t="s">
        <v>157</v>
      </c>
      <c r="D3" s="207" t="s">
        <v>0</v>
      </c>
      <c r="E3" s="240" t="s">
        <v>158</v>
      </c>
      <c r="F3" s="208" t="s">
        <v>159</v>
      </c>
      <c r="G3" s="330" t="s">
        <v>243</v>
      </c>
      <c r="H3" s="210" t="s">
        <v>160</v>
      </c>
      <c r="I3" s="211" t="s">
        <v>19</v>
      </c>
      <c r="J3" s="209" t="s">
        <v>17</v>
      </c>
      <c r="K3" s="209" t="s">
        <v>161</v>
      </c>
      <c r="L3" s="209" t="s">
        <v>162</v>
      </c>
      <c r="M3" s="209" t="s">
        <v>163</v>
      </c>
      <c r="N3" s="397" t="s">
        <v>3</v>
      </c>
      <c r="O3" s="398"/>
      <c r="P3" s="209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209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397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376" t="s">
        <v>247</v>
      </c>
      <c r="T3" s="396" t="s">
        <v>15</v>
      </c>
      <c r="U3" s="245" t="s">
        <v>164</v>
      </c>
      <c r="V3" s="245" t="s">
        <v>165</v>
      </c>
      <c r="W3" s="246" t="s">
        <v>12</v>
      </c>
      <c r="X3" s="246" t="s">
        <v>13</v>
      </c>
      <c r="Y3" s="247" t="s">
        <v>4</v>
      </c>
      <c r="Z3" s="212"/>
      <c r="AA3" s="212"/>
      <c r="AB3" s="212"/>
      <c r="AC3" s="212"/>
      <c r="AD3" s="212"/>
      <c r="AE3" s="212"/>
    </row>
    <row r="4" spans="1:31" s="5" customFormat="1" x14ac:dyDescent="0.25">
      <c r="A4" s="214"/>
      <c r="B4" s="215"/>
      <c r="C4" s="215"/>
      <c r="D4" s="215"/>
      <c r="E4" s="215"/>
      <c r="F4" s="216" t="s">
        <v>5</v>
      </c>
      <c r="G4" s="216" t="s">
        <v>5</v>
      </c>
      <c r="H4" s="217" t="s">
        <v>18</v>
      </c>
      <c r="I4" s="216" t="s">
        <v>18</v>
      </c>
      <c r="J4" s="216" t="s">
        <v>5</v>
      </c>
      <c r="K4" s="216" t="s">
        <v>18</v>
      </c>
      <c r="L4" s="216" t="s">
        <v>18</v>
      </c>
      <c r="M4" s="216" t="s">
        <v>18</v>
      </c>
      <c r="N4" s="216" t="s">
        <v>5</v>
      </c>
      <c r="O4" s="216" t="s">
        <v>6</v>
      </c>
      <c r="P4" s="217" t="s">
        <v>5</v>
      </c>
      <c r="Q4" s="13"/>
      <c r="R4" s="13"/>
      <c r="S4" s="13"/>
      <c r="T4" s="218"/>
      <c r="U4" s="218"/>
      <c r="V4" s="218"/>
      <c r="W4" s="218"/>
      <c r="X4" s="218"/>
      <c r="Z4" s="212"/>
      <c r="AA4" s="212"/>
      <c r="AB4" s="212"/>
      <c r="AC4" s="212"/>
      <c r="AD4" s="212"/>
      <c r="AE4" s="4"/>
    </row>
    <row r="5" spans="1:31" ht="18" x14ac:dyDescent="0.25">
      <c r="A5" s="311" t="s">
        <v>166</v>
      </c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221"/>
      <c r="U5" s="221"/>
      <c r="V5" s="221"/>
      <c r="W5" s="221"/>
      <c r="X5" s="221"/>
      <c r="Y5" s="221"/>
      <c r="Z5" s="212"/>
      <c r="AA5" s="212"/>
      <c r="AB5" s="212"/>
      <c r="AC5" s="212"/>
      <c r="AD5" s="212"/>
    </row>
    <row r="6" spans="1:31" x14ac:dyDescent="0.25">
      <c r="A6" s="406" t="s">
        <v>254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8"/>
    </row>
    <row r="7" spans="1:31" ht="15.75" customHeight="1" x14ac:dyDescent="0.25">
      <c r="A7" s="409"/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1"/>
      <c r="Z7" s="212"/>
      <c r="AA7" s="212"/>
      <c r="AB7" s="212"/>
      <c r="AC7" s="212"/>
      <c r="AD7" s="212"/>
    </row>
    <row r="8" spans="1:31" x14ac:dyDescent="0.25">
      <c r="A8" s="409"/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  <c r="W8" s="410"/>
      <c r="X8" s="410"/>
      <c r="Y8" s="411"/>
      <c r="Z8" s="212"/>
      <c r="AA8" s="212"/>
      <c r="AB8" s="212"/>
      <c r="AC8" s="212"/>
      <c r="AD8" s="212"/>
    </row>
    <row r="9" spans="1:31" x14ac:dyDescent="0.25">
      <c r="A9" s="412"/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4"/>
      <c r="Z9" s="212"/>
      <c r="AA9" s="212"/>
      <c r="AB9" s="212"/>
      <c r="AC9" s="212"/>
      <c r="AD9" s="212"/>
    </row>
  </sheetData>
  <mergeCells count="4">
    <mergeCell ref="A1:Y1"/>
    <mergeCell ref="T2:V2"/>
    <mergeCell ref="W2:X2"/>
    <mergeCell ref="A6:Y9"/>
  </mergeCells>
  <conditionalFormatting sqref="P11:S64319">
    <cfRule type="expression" dxfId="178" priority="5" stopIfTrue="1">
      <formula>AND(P11&lt;&gt;"",OR(P11=0,P11="-"))</formula>
    </cfRule>
  </conditionalFormatting>
  <conditionalFormatting sqref="P3:S3">
    <cfRule type="expression" dxfId="177" priority="3" stopIfTrue="1">
      <formula>AND(P3&lt;&gt;"",OR(P3&lt;=0,P3="-"))</formula>
    </cfRule>
  </conditionalFormatting>
  <conditionalFormatting sqref="P4:S4">
    <cfRule type="expression" dxfId="176" priority="4" stopIfTrue="1">
      <formula>AND(P4&lt;&gt;"",OR(P4&lt;=0,P4="-"))</formula>
    </cfRule>
  </conditionalFormatting>
  <conditionalFormatting sqref="P10:S10">
    <cfRule type="expression" dxfId="175" priority="2" stopIfTrue="1">
      <formula>AND(P10&lt;&gt;"",OR(P10=0,P10="-"))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zoomScale="65" zoomScaleNormal="65" workbookViewId="0">
      <pane ySplit="1" topLeftCell="A2" activePane="bottomLeft" state="frozen"/>
      <selection activeCell="W7" sqref="W7:W9"/>
      <selection pane="bottomLeft" sqref="A1:X1"/>
    </sheetView>
  </sheetViews>
  <sheetFormatPr defaultRowHeight="14.25" x14ac:dyDescent="0.25"/>
  <cols>
    <col min="1" max="1" width="30.42578125" style="9" customWidth="1"/>
    <col min="2" max="2" width="10.85546875" style="25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0.8554687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0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s="5" customFormat="1" ht="26.25" thickBot="1" x14ac:dyDescent="0.3">
      <c r="A1" s="400" t="s">
        <v>20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</row>
    <row r="2" spans="1:30" s="5" customFormat="1" ht="21" customHeight="1" thickBot="1" x14ac:dyDescent="0.3">
      <c r="A2" s="14"/>
      <c r="B2" s="2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401" t="s">
        <v>14</v>
      </c>
      <c r="T2" s="402"/>
      <c r="U2" s="403"/>
      <c r="V2" s="404" t="s">
        <v>16</v>
      </c>
      <c r="W2" s="405"/>
      <c r="X2" s="242"/>
      <c r="Y2" s="4"/>
      <c r="Z2" s="4"/>
      <c r="AA2" s="4"/>
      <c r="AB2" s="4"/>
      <c r="AC2" s="4"/>
      <c r="AD2" s="4"/>
    </row>
    <row r="3" spans="1:30" s="213" customFormat="1" ht="114" customHeight="1" thickBot="1" x14ac:dyDescent="0.3">
      <c r="A3" s="205" t="s">
        <v>155</v>
      </c>
      <c r="B3" s="243" t="s">
        <v>156</v>
      </c>
      <c r="C3" s="206" t="s">
        <v>157</v>
      </c>
      <c r="D3" s="207" t="s">
        <v>0</v>
      </c>
      <c r="E3" s="240" t="s">
        <v>158</v>
      </c>
      <c r="F3" s="208" t="s">
        <v>159</v>
      </c>
      <c r="G3" s="209" t="s">
        <v>202</v>
      </c>
      <c r="H3" s="210" t="s">
        <v>160</v>
      </c>
      <c r="I3" s="211" t="s">
        <v>19</v>
      </c>
      <c r="J3" s="209" t="s">
        <v>17</v>
      </c>
      <c r="K3" s="209" t="s">
        <v>161</v>
      </c>
      <c r="L3" s="209" t="s">
        <v>162</v>
      </c>
      <c r="M3" s="209" t="s">
        <v>163</v>
      </c>
      <c r="N3" s="416" t="s">
        <v>3</v>
      </c>
      <c r="O3" s="417"/>
      <c r="P3" s="209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209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276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244" t="s">
        <v>15</v>
      </c>
      <c r="T3" s="245" t="s">
        <v>164</v>
      </c>
      <c r="U3" s="245" t="s">
        <v>165</v>
      </c>
      <c r="V3" s="246" t="s">
        <v>12</v>
      </c>
      <c r="W3" s="246" t="s">
        <v>13</v>
      </c>
      <c r="X3" s="247" t="s">
        <v>4</v>
      </c>
      <c r="Y3" s="212"/>
      <c r="Z3" s="212"/>
      <c r="AA3" s="212"/>
      <c r="AB3" s="212"/>
      <c r="AC3" s="212"/>
      <c r="AD3" s="212"/>
    </row>
    <row r="4" spans="1:30" s="5" customFormat="1" x14ac:dyDescent="0.25">
      <c r="A4" s="214"/>
      <c r="B4" s="248"/>
      <c r="C4" s="215"/>
      <c r="D4" s="215"/>
      <c r="E4" s="215"/>
      <c r="F4" s="216" t="s">
        <v>5</v>
      </c>
      <c r="G4" s="216" t="s">
        <v>5</v>
      </c>
      <c r="H4" s="216" t="s">
        <v>18</v>
      </c>
      <c r="I4" s="216" t="s">
        <v>18</v>
      </c>
      <c r="J4" s="216" t="s">
        <v>5</v>
      </c>
      <c r="K4" s="216" t="s">
        <v>18</v>
      </c>
      <c r="L4" s="216" t="s">
        <v>18</v>
      </c>
      <c r="M4" s="216" t="s">
        <v>18</v>
      </c>
      <c r="N4" s="216" t="s">
        <v>5</v>
      </c>
      <c r="O4" s="216" t="s">
        <v>6</v>
      </c>
      <c r="P4" s="217" t="s">
        <v>5</v>
      </c>
      <c r="Q4" s="13"/>
      <c r="R4" s="13"/>
      <c r="S4" s="218"/>
      <c r="T4" s="218"/>
      <c r="U4" s="218"/>
      <c r="V4" s="218"/>
      <c r="W4" s="218"/>
      <c r="Y4" s="212"/>
      <c r="Z4" s="212"/>
      <c r="AA4" s="212"/>
      <c r="AB4" s="212"/>
      <c r="AC4" s="212"/>
      <c r="AD4" s="4"/>
    </row>
    <row r="5" spans="1:30" ht="15.75" x14ac:dyDescent="0.25">
      <c r="A5" s="418" t="s">
        <v>167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20"/>
      <c r="Y5" s="212"/>
      <c r="Z5" s="212"/>
      <c r="AA5" s="212"/>
      <c r="AB5" s="212"/>
      <c r="AC5" s="212"/>
    </row>
    <row r="6" spans="1:30" s="266" customFormat="1" x14ac:dyDescent="0.25">
      <c r="A6" s="415" t="s">
        <v>203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265"/>
      <c r="Z6" s="265"/>
      <c r="AA6" s="265"/>
      <c r="AB6" s="265"/>
      <c r="AC6" s="265"/>
    </row>
    <row r="7" spans="1:30" s="266" customFormat="1" x14ac:dyDescent="0.25">
      <c r="A7" s="415"/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265"/>
      <c r="Z7" s="265"/>
      <c r="AA7" s="265"/>
      <c r="AB7" s="265"/>
      <c r="AC7" s="265"/>
    </row>
    <row r="8" spans="1:30" s="266" customFormat="1" x14ac:dyDescent="0.25">
      <c r="A8" s="415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265"/>
      <c r="Z8" s="265"/>
      <c r="AA8" s="265"/>
      <c r="AB8" s="265"/>
      <c r="AC8" s="265"/>
    </row>
  </sheetData>
  <mergeCells count="6">
    <mergeCell ref="A6:X8"/>
    <mergeCell ref="A1:X1"/>
    <mergeCell ref="S2:U2"/>
    <mergeCell ref="V2:W2"/>
    <mergeCell ref="N3:O3"/>
    <mergeCell ref="A5:X5"/>
  </mergeCells>
  <conditionalFormatting sqref="P3:R4">
    <cfRule type="expression" dxfId="174" priority="1" stopIfTrue="1">
      <formula>AND(P3&lt;&gt;"",OR(P3&lt;=0,P3="-"))</formula>
    </cfRule>
  </conditionalFormatting>
  <conditionalFormatting sqref="P9:R64096">
    <cfRule type="expression" dxfId="173" priority="2" stopIfTrue="1">
      <formula>AND(P9&lt;&gt;"",OR(P9=0,P9="-"))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197"/>
  <sheetViews>
    <sheetView tabSelected="1" zoomScale="55" zoomScaleNormal="55" workbookViewId="0">
      <pane xSplit="1" ySplit="1" topLeftCell="B2" activePane="bottomRight" state="frozen"/>
      <selection activeCell="W7" sqref="W7:W9"/>
      <selection pane="topRight" activeCell="W7" sqref="W7:W9"/>
      <selection pane="bottomLeft" activeCell="W7" sqref="W7:W9"/>
      <selection pane="bottomRight" sqref="A1:Y1"/>
    </sheetView>
  </sheetViews>
  <sheetFormatPr defaultRowHeight="15" outlineLevelRow="1" outlineLevelCol="1" x14ac:dyDescent="0.25"/>
  <cols>
    <col min="1" max="1" width="17.140625" style="252" customWidth="1"/>
    <col min="2" max="2" width="4.7109375" style="253" customWidth="1"/>
    <col min="3" max="3" width="5.140625" style="253" customWidth="1"/>
    <col min="4" max="4" width="5" style="253" customWidth="1"/>
    <col min="5" max="5" width="3" style="253" customWidth="1"/>
    <col min="6" max="6" width="11" style="254" customWidth="1"/>
    <col min="7" max="7" width="14.140625" style="254" customWidth="1"/>
    <col min="8" max="8" width="12.42578125" style="329" customWidth="1"/>
    <col min="9" max="9" width="13.28515625" style="256" customWidth="1" collapsed="1"/>
    <col min="10" max="10" width="13.140625" style="257" customWidth="1"/>
    <col min="11" max="11" width="12.42578125" style="258" customWidth="1" outlineLevel="1"/>
    <col min="12" max="12" width="13.42578125" style="259" customWidth="1" outlineLevel="1"/>
    <col min="13" max="13" width="13.140625" style="259" customWidth="1" outlineLevel="1"/>
    <col min="14" max="14" width="9.28515625" style="257" customWidth="1" collapsed="1"/>
    <col min="15" max="15" width="9.42578125" style="255" customWidth="1"/>
    <col min="16" max="16" width="15" style="260" customWidth="1"/>
    <col min="17" max="17" width="19.7109375" style="255" customWidth="1"/>
    <col min="18" max="19" width="28.42578125" style="255" customWidth="1"/>
    <col min="20" max="20" width="34.28515625" style="10" customWidth="1" outlineLevel="1"/>
    <col min="21" max="21" width="15" style="3" customWidth="1" outlineLevel="1" collapsed="1"/>
    <col min="22" max="22" width="14.42578125" style="10" customWidth="1" outlineLevel="1"/>
    <col min="23" max="23" width="12.7109375" style="261" customWidth="1" outlineLevel="1"/>
    <col min="24" max="24" width="12.140625" style="262" customWidth="1" outlineLevel="1"/>
    <col min="25" max="25" width="36.5703125" style="263" customWidth="1" collapsed="1"/>
    <col min="26" max="26" width="13.7109375" style="49" hidden="1" customWidth="1" outlineLevel="1"/>
    <col min="27" max="27" width="12.85546875" style="49" hidden="1" customWidth="1" outlineLevel="1"/>
    <col min="28" max="28" width="11.42578125" style="49" hidden="1" customWidth="1" outlineLevel="1"/>
    <col min="29" max="29" width="11.140625" style="49" hidden="1" customWidth="1" outlineLevel="1"/>
    <col min="30" max="30" width="6" style="264" hidden="1" customWidth="1" outlineLevel="1" collapsed="1"/>
    <col min="31" max="32" width="5.140625" style="264" hidden="1" customWidth="1" outlineLevel="1"/>
    <col min="33" max="33" width="5.85546875" style="264" hidden="1" customWidth="1" outlineLevel="1"/>
    <col min="34" max="34" width="8.140625" style="264" hidden="1" customWidth="1" outlineLevel="1"/>
    <col min="35" max="35" width="8.28515625" style="264" hidden="1" customWidth="1" outlineLevel="1"/>
    <col min="36" max="36" width="7.28515625" style="264" hidden="1" customWidth="1" outlineLevel="1"/>
    <col min="37" max="37" width="18.42578125" style="264" hidden="1" customWidth="1" outlineLevel="1"/>
    <col min="38" max="16384" width="9.140625" style="49"/>
  </cols>
  <sheetData>
    <row r="1" spans="1:37" s="251" customFormat="1" ht="23.25" customHeight="1" outlineLevel="1" thickBot="1" x14ac:dyDescent="0.3">
      <c r="A1" s="400" t="s">
        <v>171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AD1" s="17"/>
      <c r="AE1" s="17"/>
      <c r="AF1" s="17"/>
      <c r="AG1" s="17"/>
      <c r="AH1" s="17"/>
      <c r="AI1" s="17"/>
      <c r="AJ1" s="17"/>
      <c r="AK1" s="17"/>
    </row>
    <row r="2" spans="1:37" s="17" customFormat="1" ht="51" customHeight="1" x14ac:dyDescent="0.25">
      <c r="A2" s="325" t="s">
        <v>21</v>
      </c>
      <c r="B2" s="438" t="s">
        <v>22</v>
      </c>
      <c r="C2" s="440" t="s">
        <v>23</v>
      </c>
      <c r="D2" s="440" t="s">
        <v>0</v>
      </c>
      <c r="E2" s="440" t="s">
        <v>24</v>
      </c>
      <c r="F2" s="440" t="s">
        <v>25</v>
      </c>
      <c r="G2" s="442" t="s">
        <v>244</v>
      </c>
      <c r="H2" s="440" t="s">
        <v>26</v>
      </c>
      <c r="I2" s="440" t="s">
        <v>19</v>
      </c>
      <c r="J2" s="440" t="s">
        <v>17</v>
      </c>
      <c r="K2" s="440" t="s">
        <v>27</v>
      </c>
      <c r="L2" s="440" t="s">
        <v>28</v>
      </c>
      <c r="M2" s="446" t="s">
        <v>28</v>
      </c>
      <c r="N2" s="446" t="s">
        <v>3</v>
      </c>
      <c r="O2" s="438"/>
      <c r="P2" s="438" t="s">
        <v>29</v>
      </c>
      <c r="Q2" s="440" t="s">
        <v>201</v>
      </c>
      <c r="R2" s="446" t="s">
        <v>30</v>
      </c>
      <c r="S2" s="444" t="s">
        <v>247</v>
      </c>
      <c r="T2" s="453" t="s">
        <v>14</v>
      </c>
      <c r="U2" s="454"/>
      <c r="V2" s="455"/>
      <c r="W2" s="456" t="s">
        <v>169</v>
      </c>
      <c r="X2" s="457"/>
      <c r="Y2" s="440" t="s">
        <v>4</v>
      </c>
      <c r="Z2" s="448" t="s">
        <v>31</v>
      </c>
      <c r="AA2" s="448" t="s">
        <v>32</v>
      </c>
      <c r="AB2" s="448" t="s">
        <v>33</v>
      </c>
      <c r="AC2" s="448" t="s">
        <v>34</v>
      </c>
      <c r="AD2" s="450"/>
      <c r="AE2" s="451"/>
      <c r="AF2" s="451"/>
      <c r="AG2" s="452"/>
      <c r="AH2" s="450" t="s">
        <v>35</v>
      </c>
      <c r="AI2" s="451"/>
      <c r="AJ2" s="451"/>
      <c r="AK2" s="452"/>
    </row>
    <row r="3" spans="1:37" s="17" customFormat="1" ht="25.5" x14ac:dyDescent="0.25">
      <c r="A3" s="18"/>
      <c r="B3" s="439"/>
      <c r="C3" s="441"/>
      <c r="D3" s="441"/>
      <c r="E3" s="441"/>
      <c r="F3" s="441"/>
      <c r="G3" s="443"/>
      <c r="H3" s="441"/>
      <c r="I3" s="441"/>
      <c r="J3" s="441"/>
      <c r="K3" s="441"/>
      <c r="L3" s="441"/>
      <c r="M3" s="447"/>
      <c r="N3" s="447"/>
      <c r="O3" s="439"/>
      <c r="P3" s="439"/>
      <c r="Q3" s="441"/>
      <c r="R3" s="441"/>
      <c r="S3" s="445"/>
      <c r="T3" s="385" t="s">
        <v>15</v>
      </c>
      <c r="U3" s="19" t="s">
        <v>170</v>
      </c>
      <c r="V3" s="385" t="s">
        <v>36</v>
      </c>
      <c r="W3" s="20" t="s">
        <v>12</v>
      </c>
      <c r="X3" s="21" t="s">
        <v>13</v>
      </c>
      <c r="Y3" s="441"/>
      <c r="Z3" s="449"/>
      <c r="AA3" s="449"/>
      <c r="AB3" s="449"/>
      <c r="AC3" s="449"/>
      <c r="AD3" s="22"/>
      <c r="AE3" s="23"/>
      <c r="AF3" s="23"/>
      <c r="AG3" s="24"/>
      <c r="AH3" s="22"/>
      <c r="AI3" s="23"/>
      <c r="AJ3" s="23"/>
      <c r="AK3" s="24"/>
    </row>
    <row r="4" spans="1:37" s="341" customFormat="1" x14ac:dyDescent="0.25">
      <c r="A4" s="25"/>
      <c r="B4" s="26"/>
      <c r="C4" s="26"/>
      <c r="D4" s="26"/>
      <c r="E4" s="26"/>
      <c r="F4" s="27" t="s">
        <v>5</v>
      </c>
      <c r="G4" s="27" t="s">
        <v>5</v>
      </c>
      <c r="H4" s="28" t="s">
        <v>18</v>
      </c>
      <c r="I4" s="28" t="s">
        <v>18</v>
      </c>
      <c r="J4" s="27" t="s">
        <v>5</v>
      </c>
      <c r="K4" s="28" t="s">
        <v>18</v>
      </c>
      <c r="L4" s="28" t="s">
        <v>18</v>
      </c>
      <c r="M4" s="28" t="s">
        <v>18</v>
      </c>
      <c r="N4" s="29" t="s">
        <v>5</v>
      </c>
      <c r="O4" s="29" t="s">
        <v>6</v>
      </c>
      <c r="P4" s="30" t="s">
        <v>5</v>
      </c>
      <c r="Q4" s="27" t="s">
        <v>5</v>
      </c>
      <c r="R4" s="27" t="s">
        <v>5</v>
      </c>
      <c r="S4" s="27"/>
      <c r="T4" s="31"/>
      <c r="U4" s="32"/>
      <c r="V4" s="31"/>
      <c r="W4" s="33"/>
      <c r="X4" s="34"/>
      <c r="Y4" s="35"/>
      <c r="Z4" s="304"/>
      <c r="AA4" s="36"/>
      <c r="AB4" s="36"/>
      <c r="AC4" s="37"/>
      <c r="AD4" s="38">
        <v>500</v>
      </c>
      <c r="AE4" s="39">
        <v>220</v>
      </c>
      <c r="AF4" s="40">
        <v>110</v>
      </c>
      <c r="AG4" s="41">
        <v>35</v>
      </c>
      <c r="AH4" s="38">
        <v>500</v>
      </c>
      <c r="AI4" s="39">
        <v>220</v>
      </c>
      <c r="AJ4" s="42">
        <v>110</v>
      </c>
      <c r="AK4" s="41">
        <v>35</v>
      </c>
    </row>
    <row r="5" spans="1:37" ht="18" x14ac:dyDescent="0.25">
      <c r="A5" s="43"/>
      <c r="B5" s="44"/>
      <c r="C5" s="44"/>
      <c r="D5" s="44"/>
      <c r="E5" s="44"/>
      <c r="F5" s="44"/>
      <c r="G5" s="267"/>
      <c r="H5" s="326"/>
      <c r="I5" s="44"/>
      <c r="J5" s="44"/>
      <c r="K5" s="44"/>
      <c r="L5" s="45" t="s">
        <v>37</v>
      </c>
      <c r="M5" s="45"/>
      <c r="N5" s="44"/>
      <c r="O5" s="44"/>
      <c r="P5" s="44"/>
      <c r="Q5" s="44"/>
      <c r="R5" s="44"/>
      <c r="S5" s="44"/>
      <c r="T5" s="46"/>
      <c r="U5" s="46"/>
      <c r="V5" s="46"/>
      <c r="W5" s="47"/>
      <c r="X5" s="47"/>
      <c r="Y5" s="48"/>
      <c r="Z5" s="36">
        <v>0</v>
      </c>
      <c r="AA5" s="36">
        <v>100</v>
      </c>
      <c r="AB5" s="36">
        <v>105</v>
      </c>
      <c r="AC5" s="36">
        <v>140</v>
      </c>
      <c r="AD5" s="38"/>
      <c r="AE5" s="39"/>
      <c r="AF5" s="40"/>
      <c r="AG5" s="41"/>
      <c r="AH5" s="38"/>
      <c r="AI5" s="39"/>
      <c r="AJ5" s="42"/>
      <c r="AK5" s="41"/>
    </row>
    <row r="6" spans="1:37" s="341" customFormat="1" x14ac:dyDescent="0.2">
      <c r="A6" s="50" t="s">
        <v>39</v>
      </c>
      <c r="B6" s="51" t="s">
        <v>38</v>
      </c>
      <c r="C6" s="51" t="s">
        <v>38</v>
      </c>
      <c r="D6" s="51" t="s">
        <v>38</v>
      </c>
      <c r="E6" s="51" t="s">
        <v>38</v>
      </c>
      <c r="F6" s="51" t="s">
        <v>38</v>
      </c>
      <c r="G6" s="268"/>
      <c r="H6" s="284"/>
      <c r="I6" s="53" t="s">
        <v>38</v>
      </c>
      <c r="J6" s="52"/>
      <c r="K6" s="52"/>
      <c r="L6" s="52"/>
      <c r="M6" s="52"/>
      <c r="N6" s="52"/>
      <c r="O6" s="54"/>
      <c r="P6" s="54"/>
      <c r="Q6" s="55"/>
      <c r="R6" s="55"/>
      <c r="S6" s="55"/>
      <c r="T6" s="58"/>
      <c r="U6" s="57"/>
      <c r="V6" s="58"/>
      <c r="W6" s="59"/>
      <c r="X6" s="60"/>
      <c r="Y6" s="61"/>
      <c r="Z6" s="49"/>
      <c r="AA6" s="49"/>
      <c r="AB6" s="49"/>
      <c r="AC6" s="49"/>
      <c r="AD6" s="38"/>
      <c r="AE6" s="39"/>
      <c r="AF6" s="40"/>
      <c r="AG6" s="41"/>
      <c r="AH6" s="38"/>
      <c r="AI6" s="39"/>
      <c r="AJ6" s="42"/>
      <c r="AK6" s="41"/>
    </row>
    <row r="7" spans="1:37" s="76" customFormat="1" ht="14.25" customHeight="1" x14ac:dyDescent="0.25">
      <c r="A7" s="95" t="s">
        <v>41</v>
      </c>
      <c r="B7" s="62"/>
      <c r="C7" s="96" t="s">
        <v>42</v>
      </c>
      <c r="D7" s="63"/>
      <c r="E7" s="64"/>
      <c r="F7" s="280">
        <f>F8+F9</f>
        <v>400</v>
      </c>
      <c r="G7" s="65">
        <f>G8+G9</f>
        <v>106.6</v>
      </c>
      <c r="H7" s="66">
        <f>70.052+3+15</f>
        <v>88.052000000000007</v>
      </c>
      <c r="I7" s="66">
        <f>70.052+3+15</f>
        <v>88.052000000000007</v>
      </c>
      <c r="J7" s="67">
        <f>G7+I7</f>
        <v>194.65199999999999</v>
      </c>
      <c r="K7" s="68">
        <v>1.4E-2</v>
      </c>
      <c r="L7" s="69">
        <v>62.55</v>
      </c>
      <c r="M7" s="68">
        <f>K7+L7</f>
        <v>62.564</v>
      </c>
      <c r="N7" s="70"/>
      <c r="O7" s="71"/>
      <c r="P7" s="71"/>
      <c r="Q7" s="72"/>
      <c r="R7" s="73"/>
      <c r="S7" s="144"/>
      <c r="T7" s="425" t="s">
        <v>11</v>
      </c>
      <c r="U7" s="425" t="s">
        <v>43</v>
      </c>
      <c r="V7" s="425" t="s">
        <v>44</v>
      </c>
      <c r="W7" s="74">
        <v>52.419029999999999</v>
      </c>
      <c r="X7" s="75">
        <v>104.19459000000001</v>
      </c>
      <c r="Y7" s="425"/>
      <c r="AD7" s="38"/>
      <c r="AE7" s="77">
        <v>1</v>
      </c>
      <c r="AF7" s="40"/>
      <c r="AG7" s="41"/>
      <c r="AH7" s="38"/>
      <c r="AI7" s="77">
        <f>F7</f>
        <v>400</v>
      </c>
      <c r="AJ7" s="42"/>
      <c r="AK7" s="41"/>
    </row>
    <row r="8" spans="1:37" s="76" customFormat="1" x14ac:dyDescent="0.2">
      <c r="A8" s="97" t="s">
        <v>180</v>
      </c>
      <c r="B8" s="62"/>
      <c r="C8" s="63"/>
      <c r="D8" s="63"/>
      <c r="E8" s="64"/>
      <c r="F8" s="98">
        <v>200</v>
      </c>
      <c r="G8" s="99">
        <v>53.6</v>
      </c>
      <c r="H8" s="283"/>
      <c r="I8" s="78"/>
      <c r="J8" s="79"/>
      <c r="K8" s="79"/>
      <c r="L8" s="80"/>
      <c r="M8" s="81"/>
      <c r="N8" s="82">
        <f>J7</f>
        <v>194.65199999999999</v>
      </c>
      <c r="O8" s="83">
        <f>N8/F8*100</f>
        <v>97.325999999999993</v>
      </c>
      <c r="P8" s="336">
        <f>IF(G7&gt;(F8*1.05),0,(F8*1.05)-G7)</f>
        <v>103.4</v>
      </c>
      <c r="Q8" s="336">
        <f>IF(N8&gt;(F8*1.05),0,(F8*1.05)-N8)</f>
        <v>15.348000000000013</v>
      </c>
      <c r="R8" s="338">
        <f>IF(N8&gt;(1.05*F8),0,(F8*1.05)-N8)</f>
        <v>15.348000000000013</v>
      </c>
      <c r="S8" s="144">
        <f>R8</f>
        <v>15.348000000000013</v>
      </c>
      <c r="T8" s="426"/>
      <c r="U8" s="426"/>
      <c r="V8" s="426"/>
      <c r="W8" s="84"/>
      <c r="X8" s="85"/>
      <c r="Y8" s="426"/>
      <c r="AD8" s="38"/>
      <c r="AE8" s="77"/>
      <c r="AF8" s="40"/>
      <c r="AG8" s="41"/>
      <c r="AH8" s="38"/>
      <c r="AI8" s="77"/>
      <c r="AJ8" s="42"/>
      <c r="AK8" s="41"/>
    </row>
    <row r="9" spans="1:37" s="76" customFormat="1" x14ac:dyDescent="0.2">
      <c r="A9" s="86" t="s">
        <v>181</v>
      </c>
      <c r="B9" s="62"/>
      <c r="C9" s="63"/>
      <c r="D9" s="63"/>
      <c r="E9" s="64"/>
      <c r="F9" s="87">
        <v>200</v>
      </c>
      <c r="G9" s="100">
        <v>53</v>
      </c>
      <c r="H9" s="287"/>
      <c r="I9" s="88"/>
      <c r="J9" s="89"/>
      <c r="K9" s="90"/>
      <c r="L9" s="90"/>
      <c r="M9" s="90"/>
      <c r="N9" s="91"/>
      <c r="O9" s="92"/>
      <c r="P9" s="92"/>
      <c r="Q9" s="72"/>
      <c r="R9" s="73"/>
      <c r="S9" s="144"/>
      <c r="T9" s="427"/>
      <c r="U9" s="427"/>
      <c r="V9" s="427"/>
      <c r="W9" s="93"/>
      <c r="X9" s="94"/>
      <c r="Y9" s="427"/>
      <c r="AD9" s="38"/>
      <c r="AE9" s="77"/>
      <c r="AF9" s="40"/>
      <c r="AG9" s="41"/>
      <c r="AH9" s="38"/>
      <c r="AI9" s="77"/>
      <c r="AJ9" s="42"/>
      <c r="AK9" s="41"/>
    </row>
    <row r="10" spans="1:37" s="341" customFormat="1" x14ac:dyDescent="0.2">
      <c r="A10" s="101" t="s">
        <v>45</v>
      </c>
      <c r="B10" s="102" t="s">
        <v>38</v>
      </c>
      <c r="C10" s="102" t="s">
        <v>38</v>
      </c>
      <c r="D10" s="102" t="s">
        <v>38</v>
      </c>
      <c r="E10" s="102" t="s">
        <v>38</v>
      </c>
      <c r="F10" s="308"/>
      <c r="G10" s="308"/>
      <c r="H10" s="297" t="s">
        <v>46</v>
      </c>
      <c r="I10" s="298" t="s">
        <v>38</v>
      </c>
      <c r="J10" s="309"/>
      <c r="K10" s="309"/>
      <c r="L10" s="309"/>
      <c r="M10" s="309"/>
      <c r="N10" s="309"/>
      <c r="O10" s="103"/>
      <c r="P10" s="103"/>
      <c r="Q10" s="104"/>
      <c r="R10" s="104"/>
      <c r="S10" s="104"/>
      <c r="T10" s="105"/>
      <c r="U10" s="106"/>
      <c r="V10" s="105"/>
      <c r="W10" s="107"/>
      <c r="X10" s="108"/>
      <c r="Y10" s="109"/>
      <c r="Z10" s="49"/>
      <c r="AA10" s="49"/>
      <c r="AB10" s="49"/>
      <c r="AC10" s="49"/>
      <c r="AD10" s="38"/>
      <c r="AE10" s="39"/>
      <c r="AF10" s="40"/>
      <c r="AG10" s="41"/>
      <c r="AH10" s="38"/>
      <c r="AI10" s="39"/>
      <c r="AJ10" s="42"/>
      <c r="AK10" s="41"/>
    </row>
    <row r="11" spans="1:37" s="341" customFormat="1" ht="14.25" customHeight="1" x14ac:dyDescent="0.25">
      <c r="A11" s="97" t="s">
        <v>48</v>
      </c>
      <c r="B11" s="110"/>
      <c r="C11" s="96"/>
      <c r="D11" s="96" t="s">
        <v>49</v>
      </c>
      <c r="E11" s="111"/>
      <c r="F11" s="280">
        <f>F12+F13</f>
        <v>30</v>
      </c>
      <c r="G11" s="65">
        <f>G12+G13</f>
        <v>17.100000000000001</v>
      </c>
      <c r="H11" s="281">
        <v>1.9000000000000017E-2</v>
      </c>
      <c r="I11" s="66">
        <v>1.9000000000000017E-2</v>
      </c>
      <c r="J11" s="67">
        <f>G11+I11</f>
        <v>17.119</v>
      </c>
      <c r="K11" s="68">
        <v>0</v>
      </c>
      <c r="L11" s="277">
        <v>28.513100000000001</v>
      </c>
      <c r="M11" s="68">
        <f>K11+L11</f>
        <v>28.513100000000001</v>
      </c>
      <c r="N11" s="70"/>
      <c r="O11" s="71"/>
      <c r="P11" s="71"/>
      <c r="Q11" s="72"/>
      <c r="R11" s="73"/>
      <c r="S11" s="144"/>
      <c r="T11" s="425" t="s">
        <v>11</v>
      </c>
      <c r="U11" s="425" t="s">
        <v>43</v>
      </c>
      <c r="V11" s="425" t="s">
        <v>44</v>
      </c>
      <c r="W11" s="112">
        <v>56.144162799999997</v>
      </c>
      <c r="X11" s="113">
        <v>101.6224837</v>
      </c>
      <c r="Y11" s="425"/>
      <c r="Z11" s="49"/>
      <c r="AA11" s="49"/>
      <c r="AB11" s="49"/>
      <c r="AC11" s="49"/>
      <c r="AD11" s="38"/>
      <c r="AE11" s="39"/>
      <c r="AF11" s="40">
        <v>1</v>
      </c>
      <c r="AG11" s="41"/>
      <c r="AH11" s="38"/>
      <c r="AI11" s="39"/>
      <c r="AJ11" s="42">
        <f>F11</f>
        <v>30</v>
      </c>
      <c r="AK11" s="41"/>
    </row>
    <row r="12" spans="1:37" x14ac:dyDescent="0.2">
      <c r="A12" s="97" t="s">
        <v>10</v>
      </c>
      <c r="B12" s="62"/>
      <c r="C12" s="63"/>
      <c r="D12" s="63"/>
      <c r="E12" s="64"/>
      <c r="F12" s="98">
        <v>15</v>
      </c>
      <c r="G12" s="269">
        <v>8.6999999999999993</v>
      </c>
      <c r="H12" s="283"/>
      <c r="I12" s="78"/>
      <c r="J12" s="79"/>
      <c r="K12" s="79"/>
      <c r="L12" s="80"/>
      <c r="M12" s="81"/>
      <c r="N12" s="114">
        <f>J11</f>
        <v>17.119</v>
      </c>
      <c r="O12" s="115">
        <f>N12/(F12+F13)*100</f>
        <v>57.063333333333333</v>
      </c>
      <c r="P12" s="116">
        <f>IF(G11&gt;((F12+F13)*1.05),0,((F12+F13)*1.05)-G11)</f>
        <v>14.399999999999999</v>
      </c>
      <c r="Q12" s="116">
        <f>IF(N12&gt;((F12+F13)*1.05),0,((F12+F13)*1.05)-N12)</f>
        <v>14.381</v>
      </c>
      <c r="R12" s="116">
        <f>IF(N12&gt;((F12+F13)*1.05),0,((F12+F13)*1.05)-N12)</f>
        <v>14.381</v>
      </c>
      <c r="S12" s="116">
        <f>R12</f>
        <v>14.381</v>
      </c>
      <c r="T12" s="426"/>
      <c r="U12" s="426"/>
      <c r="V12" s="426"/>
      <c r="W12" s="117"/>
      <c r="X12" s="118"/>
      <c r="Y12" s="426"/>
      <c r="AD12" s="38"/>
      <c r="AE12" s="39"/>
      <c r="AF12" s="40"/>
      <c r="AG12" s="41"/>
      <c r="AH12" s="38"/>
      <c r="AI12" s="39"/>
      <c r="AJ12" s="42"/>
      <c r="AK12" s="41"/>
    </row>
    <row r="13" spans="1:37" x14ac:dyDescent="0.2">
      <c r="A13" s="97" t="s">
        <v>7</v>
      </c>
      <c r="B13" s="62"/>
      <c r="C13" s="63"/>
      <c r="D13" s="63"/>
      <c r="E13" s="64"/>
      <c r="F13" s="98">
        <v>15</v>
      </c>
      <c r="G13" s="269">
        <v>8.4</v>
      </c>
      <c r="H13" s="327"/>
      <c r="I13" s="119"/>
      <c r="J13" s="120"/>
      <c r="K13" s="6"/>
      <c r="L13" s="6"/>
      <c r="M13" s="121"/>
      <c r="N13" s="114">
        <f>J11</f>
        <v>17.119</v>
      </c>
      <c r="O13" s="115">
        <f>N13/(F12+F14)*100</f>
        <v>55.222580645161287</v>
      </c>
      <c r="P13" s="116">
        <f>IF(G11&gt;((F12+F14)*1.05),0,((F12+F14)*1.05)-G11)</f>
        <v>15.450000000000003</v>
      </c>
      <c r="Q13" s="116">
        <f>IF(N13&gt;((F12+F14)*1.05),0,((F12+F14)*1.05)-N13)</f>
        <v>15.431000000000004</v>
      </c>
      <c r="R13" s="116">
        <f>IF(N13&gt;((F12+F14)*1.05),0,((F12+F14)*1.05)-N13)</f>
        <v>15.431000000000004</v>
      </c>
      <c r="S13" s="116">
        <f>R13</f>
        <v>15.431000000000004</v>
      </c>
      <c r="T13" s="426"/>
      <c r="U13" s="426"/>
      <c r="V13" s="426"/>
      <c r="W13" s="117"/>
      <c r="X13" s="118"/>
      <c r="Y13" s="426"/>
      <c r="AD13" s="38"/>
      <c r="AE13" s="39"/>
      <c r="AF13" s="40"/>
      <c r="AG13" s="41"/>
      <c r="AH13" s="38"/>
      <c r="AI13" s="39"/>
      <c r="AJ13" s="42"/>
      <c r="AK13" s="41"/>
    </row>
    <row r="14" spans="1:37" x14ac:dyDescent="0.2">
      <c r="A14" s="97" t="s">
        <v>50</v>
      </c>
      <c r="B14" s="62"/>
      <c r="C14" s="63"/>
      <c r="D14" s="63"/>
      <c r="E14" s="64"/>
      <c r="F14" s="98">
        <v>16</v>
      </c>
      <c r="G14" s="99">
        <v>0</v>
      </c>
      <c r="H14" s="287"/>
      <c r="I14" s="88"/>
      <c r="J14" s="89"/>
      <c r="K14" s="90"/>
      <c r="L14" s="90"/>
      <c r="M14" s="90"/>
      <c r="N14" s="91"/>
      <c r="O14" s="92"/>
      <c r="P14" s="92"/>
      <c r="Q14" s="72"/>
      <c r="R14" s="73"/>
      <c r="S14" s="144"/>
      <c r="T14" s="427"/>
      <c r="U14" s="427"/>
      <c r="V14" s="427"/>
      <c r="W14" s="122"/>
      <c r="X14" s="123"/>
      <c r="Y14" s="427"/>
      <c r="AD14" s="38"/>
      <c r="AE14" s="39"/>
      <c r="AF14" s="40"/>
      <c r="AG14" s="41"/>
      <c r="AH14" s="38"/>
      <c r="AI14" s="39"/>
      <c r="AJ14" s="42"/>
      <c r="AK14" s="41"/>
    </row>
    <row r="15" spans="1:37" s="341" customFormat="1" x14ac:dyDescent="0.2">
      <c r="A15" s="101" t="s">
        <v>51</v>
      </c>
      <c r="B15" s="102" t="s">
        <v>38</v>
      </c>
      <c r="C15" s="102" t="s">
        <v>38</v>
      </c>
      <c r="D15" s="102" t="s">
        <v>38</v>
      </c>
      <c r="E15" s="102" t="s">
        <v>38</v>
      </c>
      <c r="F15" s="308"/>
      <c r="G15" s="308"/>
      <c r="H15" s="297" t="s">
        <v>46</v>
      </c>
      <c r="I15" s="298" t="s">
        <v>38</v>
      </c>
      <c r="J15" s="309"/>
      <c r="K15" s="309"/>
      <c r="L15" s="309"/>
      <c r="M15" s="309"/>
      <c r="N15" s="309"/>
      <c r="O15" s="103"/>
      <c r="P15" s="103"/>
      <c r="Q15" s="104"/>
      <c r="R15" s="104"/>
      <c r="S15" s="104"/>
      <c r="T15" s="105"/>
      <c r="U15" s="106"/>
      <c r="V15" s="105"/>
      <c r="W15" s="107"/>
      <c r="X15" s="108"/>
      <c r="Y15" s="61"/>
      <c r="Z15" s="49"/>
      <c r="AA15" s="49"/>
      <c r="AB15" s="49"/>
      <c r="AC15" s="49"/>
      <c r="AD15" s="38"/>
      <c r="AE15" s="39"/>
      <c r="AF15" s="40"/>
      <c r="AG15" s="41"/>
      <c r="AH15" s="38"/>
      <c r="AI15" s="39"/>
      <c r="AJ15" s="42"/>
      <c r="AK15" s="41"/>
    </row>
    <row r="16" spans="1:37" s="341" customFormat="1" ht="14.25" customHeight="1" x14ac:dyDescent="0.25">
      <c r="A16" s="124" t="s">
        <v>52</v>
      </c>
      <c r="B16" s="110"/>
      <c r="C16" s="96"/>
      <c r="D16" s="96" t="s">
        <v>2</v>
      </c>
      <c r="E16" s="111"/>
      <c r="F16" s="280">
        <f>F17+F18+F19</f>
        <v>90.5</v>
      </c>
      <c r="G16" s="65">
        <f>G17+G18+G19</f>
        <v>28.5</v>
      </c>
      <c r="H16" s="281">
        <f>10.918+0.09</f>
        <v>11.007999999999999</v>
      </c>
      <c r="I16" s="281">
        <f>10.918+0.09</f>
        <v>11.007999999999999</v>
      </c>
      <c r="J16" s="148">
        <f>G16+I16</f>
        <v>39.507999999999996</v>
      </c>
      <c r="K16" s="68">
        <v>0</v>
      </c>
      <c r="L16" s="277">
        <v>22.138999999999999</v>
      </c>
      <c r="M16" s="68">
        <f>K16+L16</f>
        <v>22.138999999999999</v>
      </c>
      <c r="N16" s="70"/>
      <c r="O16" s="71"/>
      <c r="P16" s="71"/>
      <c r="Q16" s="72"/>
      <c r="R16" s="73"/>
      <c r="S16" s="144"/>
      <c r="T16" s="425" t="s">
        <v>11</v>
      </c>
      <c r="U16" s="425" t="s">
        <v>43</v>
      </c>
      <c r="V16" s="425" t="s">
        <v>44</v>
      </c>
      <c r="W16" s="112">
        <v>56.158215400000003</v>
      </c>
      <c r="X16" s="113">
        <v>101.57996540000001</v>
      </c>
      <c r="Y16" s="425"/>
      <c r="Z16" s="49"/>
      <c r="AA16" s="49"/>
      <c r="AB16" s="49"/>
      <c r="AC16" s="49"/>
      <c r="AD16" s="38"/>
      <c r="AE16" s="39"/>
      <c r="AF16" s="40">
        <v>1</v>
      </c>
      <c r="AG16" s="41"/>
      <c r="AH16" s="38"/>
      <c r="AI16" s="39"/>
      <c r="AJ16" s="42">
        <f>F16</f>
        <v>90.5</v>
      </c>
      <c r="AK16" s="41"/>
    </row>
    <row r="17" spans="1:37" x14ac:dyDescent="0.2">
      <c r="A17" s="97" t="s">
        <v>10</v>
      </c>
      <c r="B17" s="62"/>
      <c r="C17" s="63"/>
      <c r="D17" s="63"/>
      <c r="E17" s="64"/>
      <c r="F17" s="98">
        <v>25</v>
      </c>
      <c r="G17" s="99">
        <v>12.3</v>
      </c>
      <c r="H17" s="283"/>
      <c r="I17" s="78"/>
      <c r="J17" s="79"/>
      <c r="K17" s="79"/>
      <c r="L17" s="80"/>
      <c r="M17" s="81"/>
      <c r="N17" s="114">
        <f>J16</f>
        <v>39.507999999999996</v>
      </c>
      <c r="O17" s="115">
        <f>N17/(F17+F18)*100</f>
        <v>79.015999999999991</v>
      </c>
      <c r="P17" s="116">
        <f>IF(G16&gt;((F17+F18)*1.05),0,((F17+F18)*1.05)-G16)</f>
        <v>24</v>
      </c>
      <c r="Q17" s="116">
        <f>IF(N17&gt;((F17+F18)*1.05),0,((F17+F18)*1.05)-N17)</f>
        <v>12.992000000000004</v>
      </c>
      <c r="R17" s="116">
        <f>IF(N17&gt;((F17+F18)*1.05),0,((F17+F18)*1.05)-N17)</f>
        <v>12.992000000000004</v>
      </c>
      <c r="S17" s="116">
        <f>R17</f>
        <v>12.992000000000004</v>
      </c>
      <c r="T17" s="426"/>
      <c r="U17" s="426"/>
      <c r="V17" s="426"/>
      <c r="W17" s="117"/>
      <c r="X17" s="118"/>
      <c r="Y17" s="426"/>
      <c r="AD17" s="38"/>
      <c r="AE17" s="39"/>
      <c r="AF17" s="40"/>
      <c r="AG17" s="41"/>
      <c r="AH17" s="38"/>
      <c r="AI17" s="39"/>
      <c r="AJ17" s="42"/>
      <c r="AK17" s="41"/>
    </row>
    <row r="18" spans="1:37" x14ac:dyDescent="0.2">
      <c r="A18" s="97" t="s">
        <v>7</v>
      </c>
      <c r="B18" s="62"/>
      <c r="C18" s="63"/>
      <c r="D18" s="63"/>
      <c r="E18" s="64"/>
      <c r="F18" s="98">
        <v>25</v>
      </c>
      <c r="G18" s="99">
        <v>16.2</v>
      </c>
      <c r="H18" s="327"/>
      <c r="I18" s="119"/>
      <c r="J18" s="120"/>
      <c r="K18" s="6"/>
      <c r="L18" s="6"/>
      <c r="M18" s="121"/>
      <c r="N18" s="114">
        <f>J16</f>
        <v>39.507999999999996</v>
      </c>
      <c r="O18" s="115">
        <f>N18/(F17+F19)*100</f>
        <v>60.317557251908397</v>
      </c>
      <c r="P18" s="116">
        <f>IF(G16&gt;((F17+F19)*1.05),0,((F17+F19)*1.05)-G16)</f>
        <v>40.275000000000006</v>
      </c>
      <c r="Q18" s="116">
        <f>IF(N18&gt;((F17+F19)*1.05),0,((F17+F19)*1.05)-N18)</f>
        <v>29.26700000000001</v>
      </c>
      <c r="R18" s="116">
        <f>IF(N18&gt;((F17+F19)*1.05),0,((F17+F19)*1.05)-N18)</f>
        <v>29.26700000000001</v>
      </c>
      <c r="S18" s="116">
        <f>R18</f>
        <v>29.26700000000001</v>
      </c>
      <c r="T18" s="426"/>
      <c r="U18" s="426"/>
      <c r="V18" s="426"/>
      <c r="W18" s="117"/>
      <c r="X18" s="118"/>
      <c r="Y18" s="426"/>
      <c r="AD18" s="38"/>
      <c r="AE18" s="39"/>
      <c r="AF18" s="40"/>
      <c r="AG18" s="41"/>
      <c r="AH18" s="38"/>
      <c r="AI18" s="39"/>
      <c r="AJ18" s="42"/>
      <c r="AK18" s="41"/>
    </row>
    <row r="19" spans="1:37" x14ac:dyDescent="0.2">
      <c r="A19" s="97" t="s">
        <v>50</v>
      </c>
      <c r="B19" s="62"/>
      <c r="C19" s="63"/>
      <c r="D19" s="63"/>
      <c r="E19" s="64"/>
      <c r="F19" s="98">
        <v>40.5</v>
      </c>
      <c r="G19" s="99">
        <v>0</v>
      </c>
      <c r="H19" s="287"/>
      <c r="I19" s="88"/>
      <c r="J19" s="89"/>
      <c r="K19" s="90"/>
      <c r="L19" s="90"/>
      <c r="M19" s="90"/>
      <c r="N19" s="91"/>
      <c r="O19" s="92"/>
      <c r="P19" s="92"/>
      <c r="Q19" s="72"/>
      <c r="R19" s="73"/>
      <c r="S19" s="144"/>
      <c r="T19" s="427"/>
      <c r="U19" s="427"/>
      <c r="V19" s="427"/>
      <c r="W19" s="122"/>
      <c r="X19" s="123"/>
      <c r="Y19" s="427"/>
      <c r="AD19" s="38"/>
      <c r="AE19" s="39"/>
      <c r="AF19" s="40"/>
      <c r="AG19" s="41"/>
      <c r="AH19" s="38"/>
      <c r="AI19" s="39"/>
      <c r="AJ19" s="42"/>
      <c r="AK19" s="41"/>
    </row>
    <row r="20" spans="1:37" s="341" customFormat="1" x14ac:dyDescent="0.2">
      <c r="A20" s="125" t="s">
        <v>53</v>
      </c>
      <c r="B20" s="126" t="s">
        <v>38</v>
      </c>
      <c r="C20" s="126" t="s">
        <v>38</v>
      </c>
      <c r="D20" s="126" t="s">
        <v>38</v>
      </c>
      <c r="E20" s="126" t="s">
        <v>38</v>
      </c>
      <c r="F20" s="127"/>
      <c r="G20" s="127"/>
      <c r="H20" s="279" t="s">
        <v>175</v>
      </c>
      <c r="I20" s="129" t="s">
        <v>38</v>
      </c>
      <c r="J20" s="128"/>
      <c r="K20" s="128"/>
      <c r="L20" s="128"/>
      <c r="M20" s="128"/>
      <c r="N20" s="128"/>
      <c r="O20" s="130"/>
      <c r="P20" s="130"/>
      <c r="Q20" s="131"/>
      <c r="R20" s="131"/>
      <c r="S20" s="377"/>
      <c r="T20" s="132"/>
      <c r="U20" s="133"/>
      <c r="V20" s="134"/>
      <c r="W20" s="135"/>
      <c r="X20" s="136"/>
      <c r="Y20" s="61"/>
      <c r="Z20" s="49"/>
      <c r="AA20" s="49"/>
      <c r="AB20" s="49"/>
      <c r="AC20" s="49"/>
      <c r="AD20" s="38"/>
      <c r="AE20" s="39"/>
      <c r="AF20" s="40"/>
      <c r="AG20" s="41"/>
      <c r="AH20" s="38"/>
      <c r="AI20" s="39"/>
      <c r="AJ20" s="42"/>
      <c r="AK20" s="41"/>
    </row>
    <row r="21" spans="1:37" ht="14.25" customHeight="1" x14ac:dyDescent="0.25">
      <c r="A21" s="97" t="s">
        <v>176</v>
      </c>
      <c r="B21" s="137"/>
      <c r="C21" s="138"/>
      <c r="D21" s="138"/>
      <c r="E21" s="139" t="s">
        <v>1</v>
      </c>
      <c r="F21" s="280">
        <f>F22</f>
        <v>5.6</v>
      </c>
      <c r="G21" s="65">
        <f>G22</f>
        <v>1.1000000000000001</v>
      </c>
      <c r="H21" s="281">
        <v>1.1000000000000001</v>
      </c>
      <c r="I21" s="66">
        <v>1.1000000000000001</v>
      </c>
      <c r="J21" s="67">
        <f>G21+I21</f>
        <v>2.2000000000000002</v>
      </c>
      <c r="K21" s="68">
        <v>0</v>
      </c>
      <c r="L21" s="277">
        <v>2.2799999999999998</v>
      </c>
      <c r="M21" s="68">
        <f>K21+L21</f>
        <v>2.2799999999999998</v>
      </c>
      <c r="N21" s="70"/>
      <c r="O21" s="71"/>
      <c r="P21" s="71"/>
      <c r="Q21" s="72"/>
      <c r="R21" s="73"/>
      <c r="S21" s="144"/>
      <c r="T21" s="421" t="s">
        <v>11</v>
      </c>
      <c r="U21" s="421" t="s">
        <v>43</v>
      </c>
      <c r="V21" s="421" t="s">
        <v>177</v>
      </c>
      <c r="W21" s="140">
        <v>56.161226630000002</v>
      </c>
      <c r="X21" s="141">
        <v>101.49754106</v>
      </c>
      <c r="Y21" s="423"/>
      <c r="AD21" s="38"/>
      <c r="AE21" s="39"/>
      <c r="AF21" s="40"/>
      <c r="AG21" s="41">
        <v>1</v>
      </c>
      <c r="AH21" s="38"/>
      <c r="AI21" s="39"/>
      <c r="AJ21" s="42"/>
      <c r="AK21" s="41">
        <f>F21</f>
        <v>5.6</v>
      </c>
    </row>
    <row r="22" spans="1:37" x14ac:dyDescent="0.25">
      <c r="A22" s="97" t="s">
        <v>10</v>
      </c>
      <c r="B22" s="62"/>
      <c r="C22" s="63"/>
      <c r="D22" s="63"/>
      <c r="E22" s="64"/>
      <c r="F22" s="98">
        <v>5.6</v>
      </c>
      <c r="G22" s="282">
        <v>1.1000000000000001</v>
      </c>
      <c r="H22" s="283"/>
      <c r="I22" s="78"/>
      <c r="J22" s="79"/>
      <c r="K22" s="79"/>
      <c r="L22" s="80"/>
      <c r="M22" s="81"/>
      <c r="N22" s="82">
        <f>J21</f>
        <v>2.2000000000000002</v>
      </c>
      <c r="O22" s="83">
        <f>N22/F22*100</f>
        <v>39.285714285714292</v>
      </c>
      <c r="P22" s="336">
        <f>IF(G21&gt;(F22*1.05),0,(F22*1.05)-G21)</f>
        <v>4.7799999999999994</v>
      </c>
      <c r="Q22" s="336">
        <f>IF(N22&gt;(F22*1.05),0,(F22*1.05)-N22)</f>
        <v>3.6799999999999997</v>
      </c>
      <c r="R22" s="338">
        <f>IF(N22&gt;(1.05*F22),0,(F22*1.05)-N22)</f>
        <v>3.6799999999999997</v>
      </c>
      <c r="S22" s="144">
        <f>R22</f>
        <v>3.6799999999999997</v>
      </c>
      <c r="T22" s="422"/>
      <c r="U22" s="422"/>
      <c r="V22" s="422"/>
      <c r="W22" s="142"/>
      <c r="X22" s="143"/>
      <c r="Y22" s="424"/>
      <c r="AD22" s="38"/>
      <c r="AE22" s="39"/>
      <c r="AF22" s="40"/>
      <c r="AG22" s="41"/>
      <c r="AH22" s="38"/>
      <c r="AI22" s="39"/>
      <c r="AJ22" s="42"/>
      <c r="AK22" s="41"/>
    </row>
    <row r="23" spans="1:37" s="341" customFormat="1" x14ac:dyDescent="0.2">
      <c r="A23" s="50"/>
      <c r="B23" s="51" t="s">
        <v>38</v>
      </c>
      <c r="C23" s="51" t="s">
        <v>38</v>
      </c>
      <c r="D23" s="51" t="s">
        <v>38</v>
      </c>
      <c r="E23" s="51" t="s">
        <v>38</v>
      </c>
      <c r="F23" s="51" t="s">
        <v>38</v>
      </c>
      <c r="G23" s="268"/>
      <c r="H23" s="284"/>
      <c r="I23" s="53" t="s">
        <v>38</v>
      </c>
      <c r="J23" s="52"/>
      <c r="K23" s="52"/>
      <c r="L23" s="52"/>
      <c r="M23" s="52"/>
      <c r="N23" s="52"/>
      <c r="O23" s="54"/>
      <c r="P23" s="54"/>
      <c r="Q23" s="55"/>
      <c r="R23" s="55"/>
      <c r="S23" s="55"/>
      <c r="T23" s="58"/>
      <c r="U23" s="57"/>
      <c r="V23" s="58"/>
      <c r="W23" s="59"/>
      <c r="X23" s="60"/>
      <c r="Y23" s="61"/>
      <c r="Z23" s="49"/>
      <c r="AA23" s="49"/>
      <c r="AB23" s="49"/>
      <c r="AC23" s="49"/>
      <c r="AD23" s="38"/>
      <c r="AE23" s="39"/>
      <c r="AF23" s="40"/>
      <c r="AG23" s="41"/>
      <c r="AH23" s="38"/>
      <c r="AI23" s="39"/>
      <c r="AJ23" s="42"/>
      <c r="AK23" s="41"/>
    </row>
    <row r="24" spans="1:37" s="76" customFormat="1" ht="14.25" customHeight="1" x14ac:dyDescent="0.25">
      <c r="A24" s="97" t="s">
        <v>178</v>
      </c>
      <c r="B24" s="62"/>
      <c r="C24" s="96" t="s">
        <v>42</v>
      </c>
      <c r="D24" s="63"/>
      <c r="E24" s="64"/>
      <c r="F24" s="285">
        <f>F25+F26</f>
        <v>126</v>
      </c>
      <c r="G24" s="150">
        <f>G25+G26</f>
        <v>39.700000000000003</v>
      </c>
      <c r="H24" s="286">
        <v>22.23</v>
      </c>
      <c r="I24" s="286">
        <v>20.73</v>
      </c>
      <c r="J24" s="152">
        <f>G24+I24</f>
        <v>60.430000000000007</v>
      </c>
      <c r="K24" s="153">
        <v>0.71499999999999997</v>
      </c>
      <c r="L24" s="277">
        <v>8.2644000000000002</v>
      </c>
      <c r="M24" s="68">
        <f>K24+L24</f>
        <v>8.9794</v>
      </c>
      <c r="N24" s="70"/>
      <c r="O24" s="71"/>
      <c r="P24" s="71"/>
      <c r="Q24" s="72"/>
      <c r="R24" s="73"/>
      <c r="S24" s="144"/>
      <c r="T24" s="428" t="s">
        <v>11</v>
      </c>
      <c r="U24" s="428" t="s">
        <v>43</v>
      </c>
      <c r="V24" s="428" t="s">
        <v>179</v>
      </c>
      <c r="W24" s="112">
        <v>56.171084999999998</v>
      </c>
      <c r="X24" s="113">
        <v>101.54414</v>
      </c>
      <c r="Y24" s="425"/>
      <c r="AD24" s="38"/>
      <c r="AE24" s="77">
        <v>1</v>
      </c>
      <c r="AF24" s="40"/>
      <c r="AG24" s="41"/>
      <c r="AH24" s="38"/>
      <c r="AI24" s="77">
        <f>F24</f>
        <v>126</v>
      </c>
      <c r="AJ24" s="42"/>
      <c r="AK24" s="41"/>
    </row>
    <row r="25" spans="1:37" s="76" customFormat="1" x14ac:dyDescent="0.2">
      <c r="A25" s="97" t="s">
        <v>180</v>
      </c>
      <c r="B25" s="62"/>
      <c r="C25" s="63"/>
      <c r="D25" s="63"/>
      <c r="E25" s="64"/>
      <c r="F25" s="98">
        <v>63</v>
      </c>
      <c r="G25" s="99">
        <v>22.9</v>
      </c>
      <c r="H25" s="283"/>
      <c r="I25" s="78"/>
      <c r="J25" s="79"/>
      <c r="K25" s="79"/>
      <c r="L25" s="80"/>
      <c r="M25" s="81"/>
      <c r="N25" s="82">
        <f>J24</f>
        <v>60.430000000000007</v>
      </c>
      <c r="O25" s="83">
        <f>N25/F25*100</f>
        <v>95.920634920634924</v>
      </c>
      <c r="P25" s="336">
        <f>IF(G24&gt;(F25*1.05),0,(F25*1.05)-G24)</f>
        <v>26.450000000000003</v>
      </c>
      <c r="Q25" s="336">
        <v>0.01</v>
      </c>
      <c r="R25" s="338">
        <v>0.01</v>
      </c>
      <c r="S25" s="144">
        <f>R25</f>
        <v>0.01</v>
      </c>
      <c r="T25" s="429"/>
      <c r="U25" s="429"/>
      <c r="V25" s="429"/>
      <c r="W25" s="117"/>
      <c r="X25" s="118"/>
      <c r="Y25" s="426"/>
      <c r="AD25" s="38"/>
      <c r="AE25" s="77"/>
      <c r="AF25" s="40"/>
      <c r="AG25" s="41"/>
      <c r="AH25" s="38"/>
      <c r="AI25" s="77"/>
      <c r="AJ25" s="42"/>
      <c r="AK25" s="41"/>
    </row>
    <row r="26" spans="1:37" s="76" customFormat="1" x14ac:dyDescent="0.2">
      <c r="A26" s="97" t="s">
        <v>181</v>
      </c>
      <c r="B26" s="62"/>
      <c r="C26" s="63"/>
      <c r="D26" s="63"/>
      <c r="E26" s="64"/>
      <c r="F26" s="98">
        <v>63</v>
      </c>
      <c r="G26" s="99">
        <v>16.8</v>
      </c>
      <c r="H26" s="287"/>
      <c r="I26" s="88"/>
      <c r="J26" s="89"/>
      <c r="K26" s="90"/>
      <c r="L26" s="90"/>
      <c r="M26" s="90"/>
      <c r="N26" s="91"/>
      <c r="O26" s="92"/>
      <c r="P26" s="92"/>
      <c r="Q26" s="72"/>
      <c r="R26" s="73"/>
      <c r="S26" s="144"/>
      <c r="T26" s="429"/>
      <c r="U26" s="429"/>
      <c r="V26" s="429"/>
      <c r="W26" s="117"/>
      <c r="X26" s="118"/>
      <c r="Y26" s="426"/>
      <c r="AD26" s="38"/>
      <c r="AE26" s="77"/>
      <c r="AF26" s="40"/>
      <c r="AG26" s="41"/>
      <c r="AH26" s="38"/>
      <c r="AI26" s="77"/>
      <c r="AJ26" s="42"/>
      <c r="AK26" s="41"/>
    </row>
    <row r="27" spans="1:37" s="76" customFormat="1" x14ac:dyDescent="0.2">
      <c r="A27" s="97"/>
      <c r="B27" s="62"/>
      <c r="C27" s="63"/>
      <c r="D27" s="63"/>
      <c r="E27" s="64"/>
      <c r="F27" s="98">
        <v>40</v>
      </c>
      <c r="G27" s="99"/>
      <c r="H27" s="288"/>
      <c r="I27" s="156"/>
      <c r="J27" s="157"/>
      <c r="K27" s="289"/>
      <c r="L27" s="77"/>
      <c r="M27" s="77"/>
      <c r="N27" s="157"/>
      <c r="O27" s="158"/>
      <c r="P27" s="158"/>
      <c r="Q27" s="144"/>
      <c r="R27" s="159"/>
      <c r="S27" s="144"/>
      <c r="T27" s="388"/>
      <c r="U27" s="386"/>
      <c r="V27" s="388"/>
      <c r="W27" s="117"/>
      <c r="X27" s="118"/>
      <c r="Y27" s="426"/>
      <c r="AD27" s="38"/>
      <c r="AE27" s="77"/>
      <c r="AF27" s="40"/>
      <c r="AG27" s="41"/>
      <c r="AH27" s="38"/>
      <c r="AI27" s="77"/>
      <c r="AJ27" s="42"/>
      <c r="AK27" s="41"/>
    </row>
    <row r="28" spans="1:37" s="76" customFormat="1" x14ac:dyDescent="0.2">
      <c r="A28" s="86"/>
      <c r="B28" s="62"/>
      <c r="C28" s="63"/>
      <c r="D28" s="63"/>
      <c r="E28" s="64"/>
      <c r="F28" s="87">
        <v>16</v>
      </c>
      <c r="G28" s="100"/>
      <c r="H28" s="290"/>
      <c r="I28" s="160"/>
      <c r="J28" s="339"/>
      <c r="K28" s="161"/>
      <c r="L28" s="162"/>
      <c r="M28" s="162"/>
      <c r="N28" s="339"/>
      <c r="O28" s="340"/>
      <c r="P28" s="340"/>
      <c r="Q28" s="337"/>
      <c r="R28" s="163"/>
      <c r="S28" s="144"/>
      <c r="T28" s="389"/>
      <c r="U28" s="387"/>
      <c r="V28" s="389"/>
      <c r="W28" s="122"/>
      <c r="X28" s="123"/>
      <c r="Y28" s="427"/>
      <c r="AD28" s="38"/>
      <c r="AE28" s="77"/>
      <c r="AF28" s="40"/>
      <c r="AG28" s="41"/>
      <c r="AH28" s="38"/>
      <c r="AI28" s="77"/>
      <c r="AJ28" s="42"/>
      <c r="AK28" s="41"/>
    </row>
    <row r="29" spans="1:37" s="341" customFormat="1" x14ac:dyDescent="0.2">
      <c r="A29" s="50" t="s">
        <v>54</v>
      </c>
      <c r="B29" s="51" t="s">
        <v>38</v>
      </c>
      <c r="C29" s="51" t="s">
        <v>38</v>
      </c>
      <c r="D29" s="51" t="s">
        <v>38</v>
      </c>
      <c r="E29" s="51" t="s">
        <v>38</v>
      </c>
      <c r="F29" s="51" t="s">
        <v>38</v>
      </c>
      <c r="G29" s="268"/>
      <c r="H29" s="284"/>
      <c r="I29" s="53" t="s">
        <v>38</v>
      </c>
      <c r="J29" s="52"/>
      <c r="K29" s="52"/>
      <c r="L29" s="52"/>
      <c r="M29" s="52"/>
      <c r="N29" s="52"/>
      <c r="O29" s="54"/>
      <c r="P29" s="54"/>
      <c r="Q29" s="55"/>
      <c r="R29" s="55"/>
      <c r="S29" s="378"/>
      <c r="T29" s="164"/>
      <c r="U29" s="165"/>
      <c r="V29" s="164"/>
      <c r="W29" s="166"/>
      <c r="X29" s="167"/>
      <c r="Y29" s="61"/>
      <c r="Z29" s="49"/>
      <c r="AA29" s="49"/>
      <c r="AB29" s="49"/>
      <c r="AC29" s="49"/>
      <c r="AD29" s="38"/>
      <c r="AE29" s="39"/>
      <c r="AF29" s="40"/>
      <c r="AG29" s="41"/>
      <c r="AH29" s="38"/>
      <c r="AI29" s="39"/>
      <c r="AJ29" s="42"/>
      <c r="AK29" s="41"/>
    </row>
    <row r="30" spans="1:37" ht="14.25" customHeight="1" x14ac:dyDescent="0.25">
      <c r="A30" s="168" t="s">
        <v>62</v>
      </c>
      <c r="B30" s="62"/>
      <c r="C30" s="96" t="s">
        <v>63</v>
      </c>
      <c r="D30" s="63"/>
      <c r="E30" s="64"/>
      <c r="F30" s="285">
        <f>F31+F32</f>
        <v>50</v>
      </c>
      <c r="G30" s="150">
        <f>G31+G32</f>
        <v>14.200000000000001</v>
      </c>
      <c r="H30" s="286">
        <v>0.25</v>
      </c>
      <c r="I30" s="151">
        <v>1.7861</v>
      </c>
      <c r="J30" s="152">
        <f>G30+I30</f>
        <v>15.9861</v>
      </c>
      <c r="K30" s="153">
        <v>4.4059999999999997</v>
      </c>
      <c r="L30" s="154">
        <v>6.21</v>
      </c>
      <c r="M30" s="68">
        <f>K30+L30</f>
        <v>10.616</v>
      </c>
      <c r="N30" s="70"/>
      <c r="O30" s="71"/>
      <c r="P30" s="71"/>
      <c r="Q30" s="72"/>
      <c r="R30" s="73"/>
      <c r="S30" s="144"/>
      <c r="T30" s="425" t="s">
        <v>40</v>
      </c>
      <c r="U30" s="425" t="s">
        <v>64</v>
      </c>
      <c r="V30" s="425"/>
      <c r="W30" s="74">
        <v>56.936382500000001</v>
      </c>
      <c r="X30" s="75">
        <v>101.2736893</v>
      </c>
      <c r="Y30" s="425"/>
      <c r="Z30" s="145"/>
      <c r="AA30" s="146"/>
      <c r="AB30" s="146"/>
      <c r="AC30" s="146"/>
      <c r="AD30" s="38"/>
      <c r="AE30" s="39">
        <v>1</v>
      </c>
      <c r="AF30" s="40"/>
      <c r="AG30" s="41"/>
      <c r="AH30" s="38"/>
      <c r="AI30" s="39">
        <f>F30</f>
        <v>50</v>
      </c>
      <c r="AJ30" s="42"/>
      <c r="AK30" s="41"/>
    </row>
    <row r="31" spans="1:37" x14ac:dyDescent="0.2">
      <c r="A31" s="149" t="s">
        <v>10</v>
      </c>
      <c r="B31" s="62"/>
      <c r="C31" s="63"/>
      <c r="D31" s="63"/>
      <c r="E31" s="64"/>
      <c r="F31" s="169">
        <v>25</v>
      </c>
      <c r="G31" s="193">
        <v>5.9</v>
      </c>
      <c r="H31" s="283"/>
      <c r="I31" s="78"/>
      <c r="J31" s="79"/>
      <c r="K31" s="79"/>
      <c r="L31" s="80"/>
      <c r="M31" s="81"/>
      <c r="N31" s="82">
        <f>J30</f>
        <v>15.9861</v>
      </c>
      <c r="O31" s="83">
        <f>N31/F31*100</f>
        <v>63.944400000000002</v>
      </c>
      <c r="P31" s="336">
        <f>IF(G30&gt;(F31*1.05),0,(F31*1.05)-G30)</f>
        <v>12.049999999999999</v>
      </c>
      <c r="Q31" s="336">
        <f>IF(N31&gt;(F31*1.05),0,(F31*1.05)-N31)</f>
        <v>10.2639</v>
      </c>
      <c r="R31" s="338">
        <f>IF(N31&gt;(1.05*F31),0,(F31*1.05)-N31)</f>
        <v>10.2639</v>
      </c>
      <c r="S31" s="144">
        <f>R31</f>
        <v>10.2639</v>
      </c>
      <c r="T31" s="426"/>
      <c r="U31" s="426"/>
      <c r="V31" s="426"/>
      <c r="W31" s="84"/>
      <c r="X31" s="85"/>
      <c r="Y31" s="426"/>
      <c r="Z31" s="145"/>
      <c r="AA31" s="146"/>
      <c r="AB31" s="146"/>
      <c r="AC31" s="146"/>
      <c r="AD31" s="38"/>
      <c r="AE31" s="39"/>
      <c r="AF31" s="40"/>
      <c r="AG31" s="41"/>
      <c r="AH31" s="38"/>
      <c r="AI31" s="39"/>
      <c r="AJ31" s="42"/>
      <c r="AK31" s="41"/>
    </row>
    <row r="32" spans="1:37" x14ac:dyDescent="0.2">
      <c r="A32" s="149" t="s">
        <v>7</v>
      </c>
      <c r="B32" s="62"/>
      <c r="C32" s="63"/>
      <c r="D32" s="63"/>
      <c r="E32" s="64"/>
      <c r="F32" s="169">
        <v>25</v>
      </c>
      <c r="G32" s="193">
        <v>8.3000000000000007</v>
      </c>
      <c r="H32" s="287"/>
      <c r="I32" s="88"/>
      <c r="J32" s="89"/>
      <c r="K32" s="90"/>
      <c r="L32" s="90"/>
      <c r="M32" s="90"/>
      <c r="N32" s="91"/>
      <c r="O32" s="92"/>
      <c r="P32" s="92"/>
      <c r="Q32" s="72"/>
      <c r="R32" s="73"/>
      <c r="S32" s="144"/>
      <c r="T32" s="427"/>
      <c r="U32" s="427"/>
      <c r="V32" s="427"/>
      <c r="W32" s="93"/>
      <c r="X32" s="94"/>
      <c r="Y32" s="427"/>
      <c r="Z32" s="145"/>
      <c r="AA32" s="146"/>
      <c r="AB32" s="146"/>
      <c r="AC32" s="146"/>
      <c r="AD32" s="38"/>
      <c r="AE32" s="39"/>
      <c r="AF32" s="40"/>
      <c r="AG32" s="41"/>
      <c r="AH32" s="38"/>
      <c r="AI32" s="39"/>
      <c r="AJ32" s="42"/>
      <c r="AK32" s="41"/>
    </row>
    <row r="33" spans="1:37" s="170" customFormat="1" x14ac:dyDescent="0.2">
      <c r="A33" s="50" t="s">
        <v>57</v>
      </c>
      <c r="B33" s="51" t="s">
        <v>38</v>
      </c>
      <c r="C33" s="51" t="s">
        <v>38</v>
      </c>
      <c r="D33" s="51" t="s">
        <v>38</v>
      </c>
      <c r="E33" s="51" t="s">
        <v>38</v>
      </c>
      <c r="F33" s="51" t="s">
        <v>38</v>
      </c>
      <c r="G33" s="268"/>
      <c r="H33" s="284"/>
      <c r="I33" s="53" t="s">
        <v>38</v>
      </c>
      <c r="J33" s="52"/>
      <c r="K33" s="52"/>
      <c r="L33" s="52"/>
      <c r="M33" s="52"/>
      <c r="N33" s="52"/>
      <c r="O33" s="54"/>
      <c r="P33" s="54"/>
      <c r="Q33" s="55"/>
      <c r="R33" s="55"/>
      <c r="S33" s="55"/>
      <c r="T33" s="58"/>
      <c r="U33" s="57"/>
      <c r="V33" s="58"/>
      <c r="W33" s="59"/>
      <c r="X33" s="60"/>
      <c r="Y33" s="61"/>
      <c r="Z33" s="145"/>
      <c r="AA33" s="145"/>
      <c r="AB33" s="145"/>
      <c r="AC33" s="145"/>
      <c r="AD33" s="38"/>
      <c r="AE33" s="39"/>
      <c r="AF33" s="40"/>
      <c r="AG33" s="41"/>
      <c r="AH33" s="38"/>
      <c r="AI33" s="39"/>
      <c r="AJ33" s="42"/>
      <c r="AK33" s="41"/>
    </row>
    <row r="34" spans="1:37" ht="19.5" customHeight="1" x14ac:dyDescent="0.25">
      <c r="A34" s="171" t="s">
        <v>65</v>
      </c>
      <c r="B34" s="62"/>
      <c r="C34" s="96" t="s">
        <v>66</v>
      </c>
      <c r="D34" s="63"/>
      <c r="E34" s="64"/>
      <c r="F34" s="285">
        <f>F35</f>
        <v>25</v>
      </c>
      <c r="G34" s="150">
        <f>G35</f>
        <v>1.3</v>
      </c>
      <c r="H34" s="286">
        <v>1.35</v>
      </c>
      <c r="I34" s="151">
        <v>1.3560000000000001</v>
      </c>
      <c r="J34" s="152">
        <f>G34+I34</f>
        <v>2.6560000000000001</v>
      </c>
      <c r="K34" s="153">
        <v>0</v>
      </c>
      <c r="L34" s="154">
        <v>2.5</v>
      </c>
      <c r="M34" s="68">
        <f>K34+L34</f>
        <v>2.5</v>
      </c>
      <c r="N34" s="70"/>
      <c r="O34" s="71"/>
      <c r="P34" s="71"/>
      <c r="Q34" s="72"/>
      <c r="R34" s="73"/>
      <c r="S34" s="144"/>
      <c r="T34" s="421" t="s">
        <v>67</v>
      </c>
      <c r="U34" s="421" t="s">
        <v>68</v>
      </c>
      <c r="V34" s="421"/>
      <c r="W34" s="140">
        <v>57.341949999999997</v>
      </c>
      <c r="X34" s="141">
        <v>100.01213199999999</v>
      </c>
      <c r="Y34" s="434" t="s">
        <v>248</v>
      </c>
      <c r="Z34" s="145"/>
      <c r="AA34" s="146"/>
      <c r="AB34" s="146"/>
      <c r="AC34" s="146"/>
      <c r="AD34" s="38"/>
      <c r="AE34" s="39">
        <v>1</v>
      </c>
      <c r="AF34" s="40"/>
      <c r="AG34" s="41"/>
      <c r="AH34" s="38"/>
      <c r="AI34" s="39">
        <f>F34</f>
        <v>25</v>
      </c>
      <c r="AJ34" s="42"/>
      <c r="AK34" s="41"/>
    </row>
    <row r="35" spans="1:37" ht="20.25" customHeight="1" x14ac:dyDescent="0.2">
      <c r="A35" s="149" t="s">
        <v>10</v>
      </c>
      <c r="B35" s="62"/>
      <c r="C35" s="63"/>
      <c r="D35" s="63"/>
      <c r="E35" s="64"/>
      <c r="F35" s="156">
        <v>25</v>
      </c>
      <c r="G35" s="193">
        <v>1.3</v>
      </c>
      <c r="H35" s="283"/>
      <c r="I35" s="78"/>
      <c r="J35" s="79"/>
      <c r="K35" s="79"/>
      <c r="L35" s="80"/>
      <c r="M35" s="81"/>
      <c r="N35" s="82">
        <f>J34</f>
        <v>2.6560000000000001</v>
      </c>
      <c r="O35" s="83">
        <f>N35/F35*100</f>
        <v>10.624000000000001</v>
      </c>
      <c r="P35" s="336">
        <f>IF(G34&gt;(F35*1.05),0,(F35*1.05)-G34)</f>
        <v>24.95</v>
      </c>
      <c r="Q35" s="336">
        <f>IF(N35&gt;(F35*1.05),0,(F35*1.05)-N35)</f>
        <v>23.594000000000001</v>
      </c>
      <c r="R35" s="338">
        <f>IF(N35&gt;(1.05*F35),0,(F35*1.05)-N35)</f>
        <v>23.594000000000001</v>
      </c>
      <c r="S35" s="381">
        <f>S31</f>
        <v>10.2639</v>
      </c>
      <c r="T35" s="422"/>
      <c r="U35" s="422"/>
      <c r="V35" s="422"/>
      <c r="W35" s="142"/>
      <c r="X35" s="143"/>
      <c r="Y35" s="435"/>
      <c r="Z35" s="145"/>
      <c r="AA35" s="146"/>
      <c r="AB35" s="146"/>
      <c r="AC35" s="146"/>
      <c r="AD35" s="38"/>
      <c r="AE35" s="39"/>
      <c r="AF35" s="40"/>
      <c r="AG35" s="41"/>
      <c r="AH35" s="38"/>
      <c r="AI35" s="39"/>
      <c r="AJ35" s="42"/>
      <c r="AK35" s="41"/>
    </row>
    <row r="36" spans="1:37" s="341" customFormat="1" x14ac:dyDescent="0.2">
      <c r="A36" s="125" t="s">
        <v>59</v>
      </c>
      <c r="B36" s="126" t="s">
        <v>38</v>
      </c>
      <c r="C36" s="126" t="s">
        <v>38</v>
      </c>
      <c r="D36" s="126" t="s">
        <v>38</v>
      </c>
      <c r="E36" s="126" t="s">
        <v>38</v>
      </c>
      <c r="F36" s="127"/>
      <c r="G36" s="127"/>
      <c r="H36" s="279" t="s">
        <v>69</v>
      </c>
      <c r="I36" s="129" t="s">
        <v>38</v>
      </c>
      <c r="J36" s="128"/>
      <c r="K36" s="128"/>
      <c r="L36" s="128"/>
      <c r="M36" s="128"/>
      <c r="N36" s="128"/>
      <c r="O36" s="130"/>
      <c r="P36" s="130"/>
      <c r="Q36" s="131"/>
      <c r="R36" s="131"/>
      <c r="S36" s="131"/>
      <c r="T36" s="134"/>
      <c r="U36" s="133"/>
      <c r="V36" s="134"/>
      <c r="W36" s="135"/>
      <c r="X36" s="136"/>
      <c r="Y36" s="61"/>
      <c r="Z36" s="49"/>
      <c r="AA36" s="49"/>
      <c r="AB36" s="49"/>
      <c r="AC36" s="49"/>
      <c r="AD36" s="38"/>
      <c r="AE36" s="39"/>
      <c r="AF36" s="40"/>
      <c r="AG36" s="41"/>
      <c r="AH36" s="38"/>
      <c r="AI36" s="39"/>
      <c r="AJ36" s="42"/>
      <c r="AK36" s="41"/>
    </row>
    <row r="37" spans="1:37" ht="14.25" customHeight="1" x14ac:dyDescent="0.25">
      <c r="A37" s="149" t="s">
        <v>70</v>
      </c>
      <c r="B37" s="137"/>
      <c r="C37" s="138"/>
      <c r="D37" s="138"/>
      <c r="E37" s="139" t="s">
        <v>60</v>
      </c>
      <c r="F37" s="285">
        <f>F38</f>
        <v>1.8</v>
      </c>
      <c r="G37" s="150">
        <f>G38</f>
        <v>0.3</v>
      </c>
      <c r="H37" s="286">
        <v>6.0000000000000053E-3</v>
      </c>
      <c r="I37" s="151">
        <v>6.0000000000000053E-3</v>
      </c>
      <c r="J37" s="152">
        <f>G37+I37</f>
        <v>0.30599999999999999</v>
      </c>
      <c r="K37" s="153">
        <v>1.756</v>
      </c>
      <c r="L37" s="154">
        <v>0</v>
      </c>
      <c r="M37" s="68">
        <f>K37+L37</f>
        <v>1.756</v>
      </c>
      <c r="N37" s="70"/>
      <c r="O37" s="71"/>
      <c r="P37" s="71"/>
      <c r="Q37" s="72"/>
      <c r="R37" s="73"/>
      <c r="S37" s="144"/>
      <c r="T37" s="421" t="s">
        <v>67</v>
      </c>
      <c r="U37" s="421" t="s">
        <v>71</v>
      </c>
      <c r="V37" s="421"/>
      <c r="W37" s="140">
        <v>57.390836</v>
      </c>
      <c r="X37" s="141">
        <v>99.324844999999996</v>
      </c>
      <c r="Y37" s="423"/>
      <c r="Z37" s="145"/>
      <c r="AA37" s="146"/>
      <c r="AB37" s="146"/>
      <c r="AC37" s="146"/>
      <c r="AD37" s="38"/>
      <c r="AE37" s="39"/>
      <c r="AF37" s="40"/>
      <c r="AG37" s="41">
        <v>1</v>
      </c>
      <c r="AH37" s="38"/>
      <c r="AI37" s="39"/>
      <c r="AJ37" s="42"/>
      <c r="AK37" s="41">
        <f>F37</f>
        <v>1.8</v>
      </c>
    </row>
    <row r="38" spans="1:37" x14ac:dyDescent="0.25">
      <c r="A38" s="149" t="s">
        <v>10</v>
      </c>
      <c r="B38" s="62"/>
      <c r="C38" s="63"/>
      <c r="D38" s="63"/>
      <c r="E38" s="64"/>
      <c r="F38" s="156">
        <v>1.8</v>
      </c>
      <c r="G38" s="270">
        <v>0.3</v>
      </c>
      <c r="H38" s="283"/>
      <c r="I38" s="78"/>
      <c r="J38" s="79"/>
      <c r="K38" s="79"/>
      <c r="L38" s="80"/>
      <c r="M38" s="81"/>
      <c r="N38" s="82">
        <f>J37</f>
        <v>0.30599999999999999</v>
      </c>
      <c r="O38" s="83">
        <f>N38/F38*100</f>
        <v>17</v>
      </c>
      <c r="P38" s="336">
        <f>IF(G37&gt;(F38*1.05),0,(F38*1.05)-G37)</f>
        <v>1.59</v>
      </c>
      <c r="Q38" s="336">
        <f>IF(N38&gt;(F38*1.05),0,(F38*1.05)-N38)</f>
        <v>1.5840000000000001</v>
      </c>
      <c r="R38" s="338">
        <f>IF(N38&gt;(1.05*F38),0,(F38*1.05)-N38)</f>
        <v>1.5840000000000001</v>
      </c>
      <c r="S38" s="144">
        <f>R38</f>
        <v>1.5840000000000001</v>
      </c>
      <c r="T38" s="422"/>
      <c r="U38" s="422"/>
      <c r="V38" s="422"/>
      <c r="W38" s="142"/>
      <c r="X38" s="143"/>
      <c r="Y38" s="424"/>
      <c r="Z38" s="145"/>
      <c r="AA38" s="146"/>
      <c r="AB38" s="146"/>
      <c r="AC38" s="146"/>
      <c r="AD38" s="38"/>
      <c r="AE38" s="39"/>
      <c r="AF38" s="40"/>
      <c r="AG38" s="41"/>
      <c r="AH38" s="38"/>
      <c r="AI38" s="39"/>
      <c r="AJ38" s="42"/>
      <c r="AK38" s="41"/>
    </row>
    <row r="39" spans="1:37" s="341" customFormat="1" x14ac:dyDescent="0.2">
      <c r="A39" s="125" t="s">
        <v>61</v>
      </c>
      <c r="B39" s="126" t="s">
        <v>38</v>
      </c>
      <c r="C39" s="126" t="s">
        <v>38</v>
      </c>
      <c r="D39" s="126" t="s">
        <v>38</v>
      </c>
      <c r="E39" s="126" t="s">
        <v>38</v>
      </c>
      <c r="F39" s="127"/>
      <c r="G39" s="127"/>
      <c r="H39" s="279" t="s">
        <v>72</v>
      </c>
      <c r="I39" s="129" t="s">
        <v>38</v>
      </c>
      <c r="J39" s="128"/>
      <c r="K39" s="128"/>
      <c r="L39" s="128"/>
      <c r="M39" s="128"/>
      <c r="N39" s="128"/>
      <c r="O39" s="130"/>
      <c r="P39" s="130"/>
      <c r="Q39" s="131"/>
      <c r="R39" s="131"/>
      <c r="S39" s="131"/>
      <c r="T39" s="134"/>
      <c r="U39" s="133"/>
      <c r="V39" s="134"/>
      <c r="W39" s="135"/>
      <c r="X39" s="136"/>
      <c r="Y39" s="61"/>
      <c r="Z39" s="49"/>
      <c r="AA39" s="49"/>
      <c r="AB39" s="49"/>
      <c r="AC39" s="49"/>
      <c r="AD39" s="38"/>
      <c r="AE39" s="39"/>
      <c r="AF39" s="40"/>
      <c r="AG39" s="41"/>
      <c r="AH39" s="38"/>
      <c r="AI39" s="39"/>
      <c r="AJ39" s="42"/>
      <c r="AK39" s="41"/>
    </row>
    <row r="40" spans="1:37" ht="14.25" customHeight="1" x14ac:dyDescent="0.25">
      <c r="A40" s="149" t="s">
        <v>73</v>
      </c>
      <c r="B40" s="137"/>
      <c r="C40" s="138"/>
      <c r="D40" s="138"/>
      <c r="E40" s="139" t="s">
        <v>1</v>
      </c>
      <c r="F40" s="285">
        <f>F41</f>
        <v>6.3</v>
      </c>
      <c r="G40" s="150">
        <f>G41</f>
        <v>1.9</v>
      </c>
      <c r="H40" s="286">
        <f>0.3+0.08+0.065</f>
        <v>0.44500000000000001</v>
      </c>
      <c r="I40" s="286">
        <f>0.3+0.08+0.065</f>
        <v>0.44500000000000001</v>
      </c>
      <c r="J40" s="152">
        <f>G40+I40</f>
        <v>2.3449999999999998</v>
      </c>
      <c r="K40" s="153">
        <v>0.01</v>
      </c>
      <c r="L40" s="154">
        <v>0.51</v>
      </c>
      <c r="M40" s="68">
        <f>K40+L40</f>
        <v>0.52</v>
      </c>
      <c r="N40" s="70"/>
      <c r="O40" s="71"/>
      <c r="P40" s="71"/>
      <c r="Q40" s="72"/>
      <c r="R40" s="73"/>
      <c r="S40" s="144"/>
      <c r="T40" s="421" t="s">
        <v>74</v>
      </c>
      <c r="U40" s="421" t="s">
        <v>75</v>
      </c>
      <c r="V40" s="421"/>
      <c r="W40" s="140">
        <v>56.585101999999999</v>
      </c>
      <c r="X40" s="141">
        <v>101.18511599999999</v>
      </c>
      <c r="Y40" s="423"/>
      <c r="Z40" s="145"/>
      <c r="AA40" s="146"/>
      <c r="AB40" s="146"/>
      <c r="AC40" s="146"/>
      <c r="AD40" s="38"/>
      <c r="AE40" s="39"/>
      <c r="AF40" s="40"/>
      <c r="AG40" s="41">
        <v>1</v>
      </c>
      <c r="AH40" s="38"/>
      <c r="AI40" s="39"/>
      <c r="AJ40" s="42"/>
      <c r="AK40" s="41">
        <f>F40</f>
        <v>6.3</v>
      </c>
    </row>
    <row r="41" spans="1:37" x14ac:dyDescent="0.25">
      <c r="A41" s="149" t="s">
        <v>8</v>
      </c>
      <c r="B41" s="62"/>
      <c r="C41" s="63"/>
      <c r="D41" s="63"/>
      <c r="E41" s="64"/>
      <c r="F41" s="156">
        <v>6.3</v>
      </c>
      <c r="G41" s="270">
        <v>1.9</v>
      </c>
      <c r="H41" s="283"/>
      <c r="I41" s="78"/>
      <c r="J41" s="79"/>
      <c r="K41" s="79"/>
      <c r="L41" s="80"/>
      <c r="M41" s="81"/>
      <c r="N41" s="82">
        <f>J40</f>
        <v>2.3449999999999998</v>
      </c>
      <c r="O41" s="83">
        <f>N41/F41*100</f>
        <v>37.222222222222214</v>
      </c>
      <c r="P41" s="336">
        <f>IF(G40&gt;(F41*1.05),0,(F41*1.05)-G40)</f>
        <v>4.7149999999999999</v>
      </c>
      <c r="Q41" s="336">
        <f>IF(N41&gt;(F41*1.05),0,(F41*1.05)-N41)</f>
        <v>4.2700000000000005</v>
      </c>
      <c r="R41" s="338">
        <f>IF(N41&gt;(1.05*F41),0,(F41*1.05)-N41)</f>
        <v>4.2700000000000005</v>
      </c>
      <c r="S41" s="144">
        <f>R41</f>
        <v>4.2700000000000005</v>
      </c>
      <c r="T41" s="422"/>
      <c r="U41" s="422"/>
      <c r="V41" s="422"/>
      <c r="W41" s="142"/>
      <c r="X41" s="143"/>
      <c r="Y41" s="424"/>
      <c r="Z41" s="145"/>
      <c r="AA41" s="146"/>
      <c r="AB41" s="146"/>
      <c r="AC41" s="146"/>
      <c r="AD41" s="38"/>
      <c r="AE41" s="39"/>
      <c r="AF41" s="40"/>
      <c r="AG41" s="41"/>
      <c r="AH41" s="38"/>
      <c r="AI41" s="39"/>
      <c r="AJ41" s="42"/>
      <c r="AK41" s="41"/>
    </row>
    <row r="42" spans="1:37" s="341" customFormat="1" x14ac:dyDescent="0.2">
      <c r="A42" s="125" t="s">
        <v>61</v>
      </c>
      <c r="B42" s="126" t="s">
        <v>38</v>
      </c>
      <c r="C42" s="126" t="s">
        <v>38</v>
      </c>
      <c r="D42" s="126" t="s">
        <v>38</v>
      </c>
      <c r="E42" s="126" t="s">
        <v>38</v>
      </c>
      <c r="F42" s="127"/>
      <c r="G42" s="127"/>
      <c r="H42" s="279" t="s">
        <v>72</v>
      </c>
      <c r="I42" s="129" t="s">
        <v>38</v>
      </c>
      <c r="J42" s="128"/>
      <c r="K42" s="128"/>
      <c r="L42" s="128"/>
      <c r="M42" s="128"/>
      <c r="N42" s="128"/>
      <c r="O42" s="130"/>
      <c r="P42" s="130"/>
      <c r="Q42" s="131"/>
      <c r="R42" s="131"/>
      <c r="S42" s="131"/>
      <c r="T42" s="134"/>
      <c r="U42" s="133"/>
      <c r="V42" s="134"/>
      <c r="W42" s="135"/>
      <c r="X42" s="136"/>
      <c r="Y42" s="61"/>
      <c r="Z42" s="49"/>
      <c r="AA42" s="49"/>
      <c r="AB42" s="49"/>
      <c r="AC42" s="49"/>
      <c r="AD42" s="38"/>
      <c r="AE42" s="39"/>
      <c r="AF42" s="40"/>
      <c r="AG42" s="41"/>
      <c r="AH42" s="38"/>
      <c r="AI42" s="39"/>
      <c r="AJ42" s="42"/>
      <c r="AK42" s="41"/>
    </row>
    <row r="43" spans="1:37" ht="14.25" customHeight="1" x14ac:dyDescent="0.25">
      <c r="A43" s="149" t="s">
        <v>76</v>
      </c>
      <c r="B43" s="137"/>
      <c r="C43" s="138"/>
      <c r="D43" s="138"/>
      <c r="E43" s="139" t="s">
        <v>1</v>
      </c>
      <c r="F43" s="285">
        <f>F44+F45</f>
        <v>12.6</v>
      </c>
      <c r="G43" s="150">
        <f>G44+G45</f>
        <v>2.2999999999999998</v>
      </c>
      <c r="H43" s="286">
        <v>0</v>
      </c>
      <c r="I43" s="151">
        <v>0</v>
      </c>
      <c r="J43" s="152">
        <f>G43+I43</f>
        <v>2.2999999999999998</v>
      </c>
      <c r="K43" s="153">
        <v>0</v>
      </c>
      <c r="L43" s="154">
        <v>3.2</v>
      </c>
      <c r="M43" s="68">
        <f>K43+L43</f>
        <v>3.2</v>
      </c>
      <c r="N43" s="70"/>
      <c r="O43" s="71"/>
      <c r="P43" s="71"/>
      <c r="Q43" s="72"/>
      <c r="R43" s="73"/>
      <c r="S43" s="144"/>
      <c r="T43" s="425" t="s">
        <v>74</v>
      </c>
      <c r="U43" s="425" t="s">
        <v>77</v>
      </c>
      <c r="V43" s="425"/>
      <c r="W43" s="74">
        <v>57.045287000000002</v>
      </c>
      <c r="X43" s="75">
        <v>101.38414299999999</v>
      </c>
      <c r="Y43" s="425"/>
      <c r="Z43" s="145"/>
      <c r="AA43" s="146"/>
      <c r="AB43" s="146"/>
      <c r="AC43" s="146"/>
      <c r="AD43" s="38"/>
      <c r="AE43" s="39"/>
      <c r="AF43" s="40"/>
      <c r="AG43" s="41">
        <v>1</v>
      </c>
      <c r="AH43" s="38"/>
      <c r="AI43" s="39"/>
      <c r="AJ43" s="42"/>
      <c r="AK43" s="41">
        <v>12.6</v>
      </c>
    </row>
    <row r="44" spans="1:37" x14ac:dyDescent="0.2">
      <c r="A44" s="149" t="s">
        <v>10</v>
      </c>
      <c r="B44" s="62"/>
      <c r="C44" s="63"/>
      <c r="D44" s="63"/>
      <c r="E44" s="64"/>
      <c r="F44" s="156">
        <v>6.3</v>
      </c>
      <c r="G44" s="193">
        <v>2.2999999999999998</v>
      </c>
      <c r="H44" s="283"/>
      <c r="I44" s="78"/>
      <c r="J44" s="79"/>
      <c r="K44" s="79"/>
      <c r="L44" s="80"/>
      <c r="M44" s="81"/>
      <c r="N44" s="82">
        <f>J43</f>
        <v>2.2999999999999998</v>
      </c>
      <c r="O44" s="83">
        <f>N44/F44*100</f>
        <v>36.507936507936506</v>
      </c>
      <c r="P44" s="336">
        <f>IF(G43&gt;(F44*1.05),0,(F44*1.05)-G43)</f>
        <v>4.3150000000000004</v>
      </c>
      <c r="Q44" s="336">
        <f>IF(N44&gt;(F44*1.05),0,(F44*1.05)-N44)</f>
        <v>4.3150000000000004</v>
      </c>
      <c r="R44" s="338">
        <f>IF(N44&gt;(1.05*F44),0,(F44*1.05)-N44)</f>
        <v>4.3150000000000004</v>
      </c>
      <c r="S44" s="144">
        <f>R44</f>
        <v>4.3150000000000004</v>
      </c>
      <c r="T44" s="426"/>
      <c r="U44" s="426"/>
      <c r="V44" s="426"/>
      <c r="W44" s="84"/>
      <c r="X44" s="85"/>
      <c r="Y44" s="426"/>
      <c r="Z44" s="145"/>
      <c r="AA44" s="146"/>
      <c r="AB44" s="146"/>
      <c r="AC44" s="146"/>
      <c r="AD44" s="38"/>
      <c r="AE44" s="39"/>
      <c r="AF44" s="40"/>
      <c r="AG44" s="41"/>
      <c r="AH44" s="38"/>
      <c r="AI44" s="39"/>
      <c r="AJ44" s="42"/>
      <c r="AK44" s="41"/>
    </row>
    <row r="45" spans="1:37" x14ac:dyDescent="0.2">
      <c r="A45" s="149" t="s">
        <v>7</v>
      </c>
      <c r="B45" s="62"/>
      <c r="C45" s="63"/>
      <c r="D45" s="63"/>
      <c r="E45" s="64"/>
      <c r="F45" s="156">
        <v>6.3</v>
      </c>
      <c r="G45" s="99">
        <v>0</v>
      </c>
      <c r="H45" s="287"/>
      <c r="I45" s="88"/>
      <c r="J45" s="89"/>
      <c r="K45" s="90"/>
      <c r="L45" s="90"/>
      <c r="M45" s="90"/>
      <c r="N45" s="91"/>
      <c r="O45" s="92"/>
      <c r="P45" s="92"/>
      <c r="Q45" s="72"/>
      <c r="R45" s="73"/>
      <c r="S45" s="144"/>
      <c r="T45" s="427"/>
      <c r="U45" s="427"/>
      <c r="V45" s="427"/>
      <c r="W45" s="93"/>
      <c r="X45" s="94"/>
      <c r="Y45" s="427"/>
      <c r="Z45" s="145"/>
      <c r="AA45" s="146"/>
      <c r="AB45" s="146"/>
      <c r="AC45" s="146"/>
      <c r="AD45" s="38"/>
      <c r="AE45" s="39"/>
      <c r="AF45" s="40"/>
      <c r="AG45" s="41"/>
      <c r="AH45" s="38"/>
      <c r="AI45" s="39"/>
      <c r="AJ45" s="42"/>
      <c r="AK45" s="41"/>
    </row>
    <row r="46" spans="1:37" s="341" customFormat="1" x14ac:dyDescent="0.2">
      <c r="A46" s="125" t="s">
        <v>61</v>
      </c>
      <c r="B46" s="126" t="s">
        <v>38</v>
      </c>
      <c r="C46" s="126" t="s">
        <v>38</v>
      </c>
      <c r="D46" s="126" t="s">
        <v>38</v>
      </c>
      <c r="E46" s="126" t="s">
        <v>38</v>
      </c>
      <c r="F46" s="127"/>
      <c r="G46" s="127"/>
      <c r="H46" s="279" t="s">
        <v>72</v>
      </c>
      <c r="I46" s="129" t="s">
        <v>38</v>
      </c>
      <c r="J46" s="128"/>
      <c r="K46" s="128"/>
      <c r="L46" s="128"/>
      <c r="M46" s="128"/>
      <c r="N46" s="128"/>
      <c r="O46" s="130"/>
      <c r="P46" s="130"/>
      <c r="Q46" s="131"/>
      <c r="R46" s="131"/>
      <c r="S46" s="131"/>
      <c r="T46" s="134"/>
      <c r="U46" s="133"/>
      <c r="V46" s="134"/>
      <c r="W46" s="135"/>
      <c r="X46" s="136"/>
      <c r="Y46" s="61"/>
      <c r="Z46" s="49"/>
      <c r="AA46" s="49"/>
      <c r="AB46" s="49"/>
      <c r="AC46" s="49"/>
      <c r="AD46" s="38"/>
      <c r="AE46" s="39"/>
      <c r="AF46" s="40"/>
      <c r="AG46" s="41"/>
      <c r="AH46" s="38"/>
      <c r="AI46" s="39"/>
      <c r="AJ46" s="42"/>
      <c r="AK46" s="41"/>
    </row>
    <row r="47" spans="1:37" ht="14.25" customHeight="1" x14ac:dyDescent="0.25">
      <c r="A47" s="149" t="s">
        <v>78</v>
      </c>
      <c r="B47" s="137"/>
      <c r="C47" s="138"/>
      <c r="D47" s="138"/>
      <c r="E47" s="139" t="s">
        <v>60</v>
      </c>
      <c r="F47" s="285">
        <f>F48+F49</f>
        <v>3.2</v>
      </c>
      <c r="G47" s="150">
        <f>G48+G49</f>
        <v>0.30000000000000004</v>
      </c>
      <c r="H47" s="286">
        <f>0.034+0.04</f>
        <v>7.400000000000001E-2</v>
      </c>
      <c r="I47" s="286">
        <f>0.034+0.04</f>
        <v>7.400000000000001E-2</v>
      </c>
      <c r="J47" s="152">
        <f>G47+I47</f>
        <v>0.37400000000000005</v>
      </c>
      <c r="K47" s="153">
        <v>2.64</v>
      </c>
      <c r="L47" s="154">
        <v>0</v>
      </c>
      <c r="M47" s="68">
        <f>K47+L47</f>
        <v>2.64</v>
      </c>
      <c r="N47" s="70"/>
      <c r="O47" s="71"/>
      <c r="P47" s="71"/>
      <c r="Q47" s="72"/>
      <c r="R47" s="73"/>
      <c r="S47" s="144"/>
      <c r="T47" s="425" t="s">
        <v>74</v>
      </c>
      <c r="U47" s="425" t="s">
        <v>77</v>
      </c>
      <c r="V47" s="425"/>
      <c r="W47" s="74">
        <v>57.050961999999998</v>
      </c>
      <c r="X47" s="75">
        <v>101.385836</v>
      </c>
      <c r="Y47" s="425"/>
      <c r="Z47" s="145"/>
      <c r="AA47" s="146"/>
      <c r="AB47" s="146"/>
      <c r="AC47" s="146"/>
      <c r="AD47" s="38"/>
      <c r="AE47" s="39"/>
      <c r="AF47" s="40"/>
      <c r="AG47" s="41">
        <v>1</v>
      </c>
      <c r="AH47" s="38"/>
      <c r="AI47" s="39"/>
      <c r="AJ47" s="42"/>
      <c r="AK47" s="41">
        <f>F47</f>
        <v>3.2</v>
      </c>
    </row>
    <row r="48" spans="1:37" x14ac:dyDescent="0.2">
      <c r="A48" s="149" t="s">
        <v>10</v>
      </c>
      <c r="B48" s="62"/>
      <c r="C48" s="63"/>
      <c r="D48" s="63"/>
      <c r="E48" s="64"/>
      <c r="F48" s="156">
        <v>1.6</v>
      </c>
      <c r="G48" s="99">
        <v>0.1</v>
      </c>
      <c r="H48" s="283"/>
      <c r="I48" s="78"/>
      <c r="J48" s="79"/>
      <c r="K48" s="79"/>
      <c r="L48" s="80"/>
      <c r="M48" s="81"/>
      <c r="N48" s="82">
        <f>J47</f>
        <v>0.37400000000000005</v>
      </c>
      <c r="O48" s="83">
        <f>N48/F48*100</f>
        <v>23.375</v>
      </c>
      <c r="P48" s="336">
        <f>IF(G47&gt;(F48*1.05),0,(F48*1.05)-G47)</f>
        <v>1.3800000000000001</v>
      </c>
      <c r="Q48" s="336">
        <f>IF(N48&gt;(F48*1.05),0,(F48*1.05)-N48)</f>
        <v>1.306</v>
      </c>
      <c r="R48" s="338">
        <f>IF(N48&gt;(1.05*F48),0,(F48*1.05)-N48)</f>
        <v>1.306</v>
      </c>
      <c r="S48" s="144">
        <f>R48</f>
        <v>1.306</v>
      </c>
      <c r="T48" s="426"/>
      <c r="U48" s="426"/>
      <c r="V48" s="426"/>
      <c r="W48" s="84"/>
      <c r="X48" s="85"/>
      <c r="Y48" s="426"/>
      <c r="Z48" s="145"/>
      <c r="AA48" s="146"/>
      <c r="AB48" s="146"/>
      <c r="AC48" s="146"/>
      <c r="AD48" s="38"/>
      <c r="AE48" s="39"/>
      <c r="AF48" s="40"/>
      <c r="AG48" s="41"/>
      <c r="AH48" s="38"/>
      <c r="AI48" s="39"/>
      <c r="AJ48" s="42"/>
      <c r="AK48" s="41"/>
    </row>
    <row r="49" spans="1:37" x14ac:dyDescent="0.2">
      <c r="A49" s="149" t="s">
        <v>7</v>
      </c>
      <c r="B49" s="62"/>
      <c r="C49" s="63"/>
      <c r="D49" s="63"/>
      <c r="E49" s="64"/>
      <c r="F49" s="156">
        <v>1.6</v>
      </c>
      <c r="G49" s="193">
        <v>0.2</v>
      </c>
      <c r="H49" s="287"/>
      <c r="I49" s="88"/>
      <c r="J49" s="89"/>
      <c r="K49" s="90"/>
      <c r="L49" s="90"/>
      <c r="M49" s="90"/>
      <c r="N49" s="91"/>
      <c r="O49" s="92"/>
      <c r="P49" s="92"/>
      <c r="Q49" s="72"/>
      <c r="R49" s="73"/>
      <c r="S49" s="144"/>
      <c r="T49" s="427"/>
      <c r="U49" s="427"/>
      <c r="V49" s="427"/>
      <c r="W49" s="93"/>
      <c r="X49" s="94"/>
      <c r="Y49" s="427"/>
      <c r="Z49" s="145"/>
      <c r="AA49" s="146"/>
      <c r="AB49" s="146"/>
      <c r="AC49" s="146"/>
      <c r="AD49" s="38"/>
      <c r="AE49" s="39"/>
      <c r="AF49" s="40"/>
      <c r="AG49" s="41"/>
      <c r="AH49" s="38"/>
      <c r="AI49" s="39"/>
      <c r="AJ49" s="42"/>
      <c r="AK49" s="41"/>
    </row>
    <row r="50" spans="1:37" s="341" customFormat="1" x14ac:dyDescent="0.2">
      <c r="A50" s="125" t="s">
        <v>61</v>
      </c>
      <c r="B50" s="126" t="s">
        <v>38</v>
      </c>
      <c r="C50" s="126" t="s">
        <v>38</v>
      </c>
      <c r="D50" s="126" t="s">
        <v>38</v>
      </c>
      <c r="E50" s="126" t="s">
        <v>38</v>
      </c>
      <c r="F50" s="127"/>
      <c r="G50" s="127"/>
      <c r="H50" s="279" t="s">
        <v>72</v>
      </c>
      <c r="I50" s="129" t="s">
        <v>38</v>
      </c>
      <c r="J50" s="128"/>
      <c r="K50" s="128"/>
      <c r="L50" s="128"/>
      <c r="M50" s="128"/>
      <c r="N50" s="128"/>
      <c r="O50" s="130"/>
      <c r="P50" s="130"/>
      <c r="Q50" s="131"/>
      <c r="R50" s="131"/>
      <c r="S50" s="131"/>
      <c r="T50" s="134"/>
      <c r="U50" s="133"/>
      <c r="V50" s="134"/>
      <c r="W50" s="135"/>
      <c r="X50" s="136"/>
      <c r="Y50" s="61"/>
      <c r="Z50" s="49"/>
      <c r="AA50" s="49"/>
      <c r="AB50" s="49"/>
      <c r="AC50" s="49"/>
      <c r="AD50" s="38"/>
      <c r="AE50" s="39"/>
      <c r="AF50" s="40"/>
      <c r="AG50" s="41"/>
      <c r="AH50" s="38"/>
      <c r="AI50" s="39"/>
      <c r="AJ50" s="42"/>
      <c r="AK50" s="41"/>
    </row>
    <row r="51" spans="1:37" s="341" customFormat="1" ht="14.25" customHeight="1" x14ac:dyDescent="0.25">
      <c r="A51" s="149" t="s">
        <v>79</v>
      </c>
      <c r="B51" s="137"/>
      <c r="C51" s="138"/>
      <c r="D51" s="138"/>
      <c r="E51" s="139" t="s">
        <v>1</v>
      </c>
      <c r="F51" s="285">
        <f>F52</f>
        <v>1.6</v>
      </c>
      <c r="G51" s="150">
        <f>G52</f>
        <v>0.4</v>
      </c>
      <c r="H51" s="286">
        <f>0.07+0.055</f>
        <v>0.125</v>
      </c>
      <c r="I51" s="286">
        <f>0.07+0.055</f>
        <v>0.125</v>
      </c>
      <c r="J51" s="152">
        <f>G51+I51</f>
        <v>0.52500000000000002</v>
      </c>
      <c r="K51" s="153">
        <v>0.749</v>
      </c>
      <c r="L51" s="154">
        <v>0</v>
      </c>
      <c r="M51" s="68">
        <f>K51+L51</f>
        <v>0.749</v>
      </c>
      <c r="N51" s="70"/>
      <c r="O51" s="71"/>
      <c r="P51" s="71"/>
      <c r="Q51" s="72"/>
      <c r="R51" s="73"/>
      <c r="S51" s="144"/>
      <c r="T51" s="421" t="s">
        <v>74</v>
      </c>
      <c r="U51" s="421" t="s">
        <v>80</v>
      </c>
      <c r="V51" s="421"/>
      <c r="W51" s="140">
        <v>57.151414000000003</v>
      </c>
      <c r="X51" s="141">
        <v>102.24531899999999</v>
      </c>
      <c r="Y51" s="423"/>
      <c r="Z51" s="145"/>
      <c r="AA51" s="146"/>
      <c r="AB51" s="146"/>
      <c r="AC51" s="146"/>
      <c r="AD51" s="38"/>
      <c r="AE51" s="39"/>
      <c r="AF51" s="40"/>
      <c r="AG51" s="41">
        <v>1</v>
      </c>
      <c r="AH51" s="38"/>
      <c r="AI51" s="39"/>
      <c r="AJ51" s="42"/>
      <c r="AK51" s="41">
        <f>F51</f>
        <v>1.6</v>
      </c>
    </row>
    <row r="52" spans="1:37" x14ac:dyDescent="0.2">
      <c r="A52" s="149" t="s">
        <v>10</v>
      </c>
      <c r="B52" s="62"/>
      <c r="C52" s="63"/>
      <c r="D52" s="63"/>
      <c r="E52" s="64"/>
      <c r="F52" s="156">
        <v>1.6</v>
      </c>
      <c r="G52" s="193">
        <v>0.4</v>
      </c>
      <c r="H52" s="283"/>
      <c r="I52" s="78"/>
      <c r="J52" s="79"/>
      <c r="K52" s="79"/>
      <c r="L52" s="80"/>
      <c r="M52" s="81"/>
      <c r="N52" s="82">
        <f>J51</f>
        <v>0.52500000000000002</v>
      </c>
      <c r="O52" s="83">
        <f>N52/F52*100</f>
        <v>32.8125</v>
      </c>
      <c r="P52" s="336">
        <f>IF(G51&gt;(F52*1.05),0,(F52*1.05)-G51)</f>
        <v>1.2800000000000002</v>
      </c>
      <c r="Q52" s="336">
        <f>IF(N52&gt;(F52*1.05),0,(F52*1.05)-N52)</f>
        <v>1.1550000000000002</v>
      </c>
      <c r="R52" s="338">
        <f>IF(N52&gt;(1.05*F52),0,(F52*1.05)-N52)</f>
        <v>1.1550000000000002</v>
      </c>
      <c r="S52" s="144">
        <f>R52</f>
        <v>1.1550000000000002</v>
      </c>
      <c r="T52" s="422"/>
      <c r="U52" s="422"/>
      <c r="V52" s="422"/>
      <c r="W52" s="142"/>
      <c r="X52" s="143"/>
      <c r="Y52" s="424"/>
      <c r="Z52" s="145"/>
      <c r="AA52" s="146"/>
      <c r="AB52" s="146"/>
      <c r="AC52" s="146"/>
      <c r="AD52" s="38"/>
      <c r="AE52" s="39"/>
      <c r="AF52" s="40"/>
      <c r="AG52" s="41"/>
      <c r="AH52" s="38"/>
      <c r="AI52" s="39"/>
      <c r="AJ52" s="42"/>
      <c r="AK52" s="41"/>
    </row>
    <row r="53" spans="1:37" s="341" customFormat="1" x14ac:dyDescent="0.2">
      <c r="A53" s="125" t="s">
        <v>61</v>
      </c>
      <c r="B53" s="126" t="s">
        <v>38</v>
      </c>
      <c r="C53" s="126" t="s">
        <v>38</v>
      </c>
      <c r="D53" s="126" t="s">
        <v>38</v>
      </c>
      <c r="E53" s="126" t="s">
        <v>38</v>
      </c>
      <c r="F53" s="127"/>
      <c r="G53" s="127"/>
      <c r="H53" s="279" t="s">
        <v>72</v>
      </c>
      <c r="I53" s="129" t="s">
        <v>38</v>
      </c>
      <c r="J53" s="128"/>
      <c r="K53" s="128"/>
      <c r="L53" s="128"/>
      <c r="M53" s="128"/>
      <c r="N53" s="128"/>
      <c r="O53" s="130"/>
      <c r="P53" s="130"/>
      <c r="Q53" s="131"/>
      <c r="R53" s="131"/>
      <c r="S53" s="131"/>
      <c r="T53" s="134"/>
      <c r="U53" s="133"/>
      <c r="V53" s="134"/>
      <c r="W53" s="135"/>
      <c r="X53" s="136"/>
      <c r="Y53" s="61"/>
      <c r="Z53" s="49"/>
      <c r="AA53" s="49"/>
      <c r="AB53" s="49"/>
      <c r="AC53" s="49"/>
      <c r="AD53" s="38"/>
      <c r="AE53" s="39"/>
      <c r="AF53" s="40"/>
      <c r="AG53" s="41"/>
      <c r="AH53" s="38"/>
      <c r="AI53" s="39"/>
      <c r="AJ53" s="42"/>
      <c r="AK53" s="41"/>
    </row>
    <row r="54" spans="1:37" s="341" customFormat="1" ht="14.25" customHeight="1" x14ac:dyDescent="0.25">
      <c r="A54" s="149" t="s">
        <v>81</v>
      </c>
      <c r="B54" s="137"/>
      <c r="C54" s="138"/>
      <c r="D54" s="138"/>
      <c r="E54" s="139" t="s">
        <v>1</v>
      </c>
      <c r="F54" s="285">
        <f>F55</f>
        <v>2.5</v>
      </c>
      <c r="G54" s="150">
        <f>G55</f>
        <v>1.2</v>
      </c>
      <c r="H54" s="286">
        <f>0.017+0.02</f>
        <v>3.7000000000000005E-2</v>
      </c>
      <c r="I54" s="286">
        <f>0.017+0.02</f>
        <v>3.7000000000000005E-2</v>
      </c>
      <c r="J54" s="152">
        <f>G54+I54</f>
        <v>1.2369999999999999</v>
      </c>
      <c r="K54" s="153">
        <v>0.98899999999999999</v>
      </c>
      <c r="L54" s="154">
        <v>0</v>
      </c>
      <c r="M54" s="68">
        <f>K54+L54</f>
        <v>0.98899999999999999</v>
      </c>
      <c r="N54" s="70"/>
      <c r="O54" s="71"/>
      <c r="P54" s="71"/>
      <c r="Q54" s="72"/>
      <c r="R54" s="73"/>
      <c r="S54" s="144"/>
      <c r="T54" s="421" t="s">
        <v>74</v>
      </c>
      <c r="U54" s="421" t="s">
        <v>82</v>
      </c>
      <c r="V54" s="421"/>
      <c r="W54" s="140">
        <v>57.367072</v>
      </c>
      <c r="X54" s="141">
        <v>102.161542</v>
      </c>
      <c r="Y54" s="423"/>
      <c r="Z54" s="145"/>
      <c r="AA54" s="146"/>
      <c r="AB54" s="146"/>
      <c r="AC54" s="146"/>
      <c r="AD54" s="38"/>
      <c r="AE54" s="39"/>
      <c r="AF54" s="40"/>
      <c r="AG54" s="41">
        <v>1</v>
      </c>
      <c r="AH54" s="38"/>
      <c r="AI54" s="39"/>
      <c r="AJ54" s="42"/>
      <c r="AK54" s="41">
        <f>F54</f>
        <v>2.5</v>
      </c>
    </row>
    <row r="55" spans="1:37" x14ac:dyDescent="0.2">
      <c r="A55" s="149" t="s">
        <v>10</v>
      </c>
      <c r="B55" s="62"/>
      <c r="C55" s="63"/>
      <c r="D55" s="63"/>
      <c r="E55" s="64"/>
      <c r="F55" s="156">
        <v>2.5</v>
      </c>
      <c r="G55" s="193">
        <v>1.2</v>
      </c>
      <c r="H55" s="283"/>
      <c r="I55" s="78"/>
      <c r="J55" s="79"/>
      <c r="K55" s="79"/>
      <c r="L55" s="80"/>
      <c r="M55" s="81"/>
      <c r="N55" s="82">
        <f>J54</f>
        <v>1.2369999999999999</v>
      </c>
      <c r="O55" s="83">
        <f>N55/F55*100</f>
        <v>49.48</v>
      </c>
      <c r="P55" s="336">
        <f>IF(G54&gt;(F55*1.05),0,(F55*1.05)-G54)</f>
        <v>1.425</v>
      </c>
      <c r="Q55" s="336">
        <f>IF(N55&gt;(F55*1.05),0,(F55*1.05)-N55)</f>
        <v>1.3880000000000001</v>
      </c>
      <c r="R55" s="338">
        <f>IF(N55&gt;(1.05*F55),0,(F55*1.05)-N55)</f>
        <v>1.3880000000000001</v>
      </c>
      <c r="S55" s="144">
        <f>R55</f>
        <v>1.3880000000000001</v>
      </c>
      <c r="T55" s="422"/>
      <c r="U55" s="422"/>
      <c r="V55" s="422"/>
      <c r="W55" s="142"/>
      <c r="X55" s="143"/>
      <c r="Y55" s="424"/>
      <c r="Z55" s="145"/>
      <c r="AA55" s="146"/>
      <c r="AB55" s="146"/>
      <c r="AC55" s="146"/>
      <c r="AD55" s="38"/>
      <c r="AE55" s="39"/>
      <c r="AF55" s="40"/>
      <c r="AG55" s="41"/>
      <c r="AH55" s="38"/>
      <c r="AI55" s="39"/>
      <c r="AJ55" s="42"/>
      <c r="AK55" s="41"/>
    </row>
    <row r="56" spans="1:37" s="341" customFormat="1" x14ac:dyDescent="0.2">
      <c r="A56" s="125" t="s">
        <v>61</v>
      </c>
      <c r="B56" s="126" t="s">
        <v>38</v>
      </c>
      <c r="C56" s="126" t="s">
        <v>38</v>
      </c>
      <c r="D56" s="126" t="s">
        <v>38</v>
      </c>
      <c r="E56" s="126" t="s">
        <v>38</v>
      </c>
      <c r="F56" s="127"/>
      <c r="G56" s="127"/>
      <c r="H56" s="279" t="s">
        <v>72</v>
      </c>
      <c r="I56" s="129" t="s">
        <v>38</v>
      </c>
      <c r="J56" s="128"/>
      <c r="K56" s="128"/>
      <c r="L56" s="128"/>
      <c r="M56" s="128"/>
      <c r="N56" s="128"/>
      <c r="O56" s="130"/>
      <c r="P56" s="130"/>
      <c r="Q56" s="131"/>
      <c r="R56" s="131"/>
      <c r="S56" s="131"/>
      <c r="T56" s="134"/>
      <c r="U56" s="133"/>
      <c r="V56" s="134"/>
      <c r="W56" s="135"/>
      <c r="X56" s="136"/>
      <c r="Y56" s="61"/>
      <c r="Z56" s="49"/>
      <c r="AA56" s="49"/>
      <c r="AB56" s="49"/>
      <c r="AC56" s="49"/>
      <c r="AD56" s="38"/>
      <c r="AE56" s="39"/>
      <c r="AF56" s="40"/>
      <c r="AG56" s="41"/>
      <c r="AH56" s="38"/>
      <c r="AI56" s="39"/>
      <c r="AJ56" s="42"/>
      <c r="AK56" s="41"/>
    </row>
    <row r="57" spans="1:37" s="341" customFormat="1" ht="14.25" customHeight="1" x14ac:dyDescent="0.25">
      <c r="A57" s="149" t="s">
        <v>83</v>
      </c>
      <c r="B57" s="291"/>
      <c r="C57" s="291"/>
      <c r="D57" s="291"/>
      <c r="E57" s="291" t="s">
        <v>1</v>
      </c>
      <c r="F57" s="280">
        <f>F58</f>
        <v>2.5</v>
      </c>
      <c r="G57" s="65">
        <f>G58</f>
        <v>1.1000000000000001</v>
      </c>
      <c r="H57" s="292">
        <v>0.10600000000000001</v>
      </c>
      <c r="I57" s="66">
        <v>0.10600000000000001</v>
      </c>
      <c r="J57" s="67">
        <f>G57+I57</f>
        <v>1.2060000000000002</v>
      </c>
      <c r="K57" s="68">
        <v>1.601</v>
      </c>
      <c r="L57" s="68">
        <v>0</v>
      </c>
      <c r="M57" s="68">
        <f>K57+L57</f>
        <v>1.601</v>
      </c>
      <c r="N57" s="12"/>
      <c r="O57" s="2"/>
      <c r="P57" s="2"/>
      <c r="Q57" s="144"/>
      <c r="R57" s="144"/>
      <c r="S57" s="144"/>
      <c r="T57" s="436" t="s">
        <v>74</v>
      </c>
      <c r="U57" s="436" t="s">
        <v>82</v>
      </c>
      <c r="V57" s="436"/>
      <c r="W57" s="293">
        <v>57.361586000000003</v>
      </c>
      <c r="X57" s="294">
        <v>102.132323</v>
      </c>
      <c r="Y57" s="437"/>
      <c r="Z57" s="145"/>
      <c r="AA57" s="146"/>
      <c r="AB57" s="146"/>
      <c r="AC57" s="146"/>
      <c r="AD57" s="38"/>
      <c r="AE57" s="39"/>
      <c r="AF57" s="40"/>
      <c r="AG57" s="41">
        <v>1</v>
      </c>
      <c r="AH57" s="38"/>
      <c r="AI57" s="39"/>
      <c r="AJ57" s="42"/>
      <c r="AK57" s="41">
        <f>F57</f>
        <v>2.5</v>
      </c>
    </row>
    <row r="58" spans="1:37" x14ac:dyDescent="0.25">
      <c r="A58" s="149" t="s">
        <v>10</v>
      </c>
      <c r="B58" s="295"/>
      <c r="C58" s="295"/>
      <c r="D58" s="295"/>
      <c r="E58" s="295"/>
      <c r="F58" s="156">
        <v>2.5</v>
      </c>
      <c r="G58" s="270">
        <v>1.1000000000000001</v>
      </c>
      <c r="H58" s="296"/>
      <c r="I58" s="278"/>
      <c r="J58" s="12"/>
      <c r="K58" s="12"/>
      <c r="L58" s="155"/>
      <c r="M58" s="155"/>
      <c r="N58" s="114">
        <f>J57</f>
        <v>1.2060000000000002</v>
      </c>
      <c r="O58" s="158">
        <f>N58/F58*100</f>
        <v>48.24</v>
      </c>
      <c r="P58" s="116">
        <f>IF(G57&gt;(F58*1.05),0,(F58*1.05)-G57)</f>
        <v>1.5249999999999999</v>
      </c>
      <c r="Q58" s="116">
        <f>IF(N58&gt;(F58*1.05),0,(F58*1.05)-N58)</f>
        <v>1.4189999999999998</v>
      </c>
      <c r="R58" s="144">
        <f>IF(N58&gt;(1.05*F58),0,(F58*1.05)-N58)</f>
        <v>1.4189999999999998</v>
      </c>
      <c r="S58" s="144">
        <f>R58</f>
        <v>1.4189999999999998</v>
      </c>
      <c r="T58" s="436"/>
      <c r="U58" s="436"/>
      <c r="V58" s="436"/>
      <c r="W58" s="293"/>
      <c r="X58" s="294"/>
      <c r="Y58" s="437"/>
      <c r="Z58" s="145"/>
      <c r="AA58" s="146"/>
      <c r="AB58" s="146"/>
      <c r="AC58" s="146"/>
      <c r="AD58" s="38"/>
      <c r="AE58" s="39"/>
      <c r="AF58" s="40"/>
      <c r="AG58" s="41"/>
      <c r="AH58" s="38"/>
      <c r="AI58" s="39"/>
      <c r="AJ58" s="42"/>
      <c r="AK58" s="41"/>
    </row>
    <row r="59" spans="1:37" s="341" customFormat="1" x14ac:dyDescent="0.2">
      <c r="A59" s="50" t="s">
        <v>54</v>
      </c>
      <c r="B59" s="51" t="s">
        <v>38</v>
      </c>
      <c r="C59" s="51" t="s">
        <v>38</v>
      </c>
      <c r="D59" s="51" t="s">
        <v>38</v>
      </c>
      <c r="E59" s="51" t="s">
        <v>38</v>
      </c>
      <c r="F59" s="51" t="s">
        <v>38</v>
      </c>
      <c r="G59" s="268"/>
      <c r="H59" s="284"/>
      <c r="I59" s="53" t="s">
        <v>38</v>
      </c>
      <c r="J59" s="52"/>
      <c r="K59" s="52"/>
      <c r="L59" s="52"/>
      <c r="M59" s="52"/>
      <c r="N59" s="52"/>
      <c r="O59" s="54"/>
      <c r="P59" s="54"/>
      <c r="Q59" s="55"/>
      <c r="R59" s="55"/>
      <c r="S59" s="55"/>
      <c r="T59" s="58"/>
      <c r="U59" s="57"/>
      <c r="V59" s="58"/>
      <c r="W59" s="59"/>
      <c r="X59" s="60"/>
      <c r="Y59" s="61"/>
      <c r="Z59" s="49"/>
      <c r="AA59" s="49"/>
      <c r="AB59" s="49"/>
      <c r="AC59" s="49"/>
      <c r="AD59" s="38"/>
      <c r="AE59" s="39"/>
      <c r="AF59" s="40"/>
      <c r="AG59" s="41"/>
      <c r="AH59" s="38"/>
      <c r="AI59" s="39"/>
      <c r="AJ59" s="42"/>
      <c r="AK59" s="41"/>
    </row>
    <row r="60" spans="1:37" ht="12.75" customHeight="1" x14ac:dyDescent="0.25">
      <c r="A60" s="168" t="s">
        <v>87</v>
      </c>
      <c r="B60" s="62"/>
      <c r="C60" s="96" t="s">
        <v>55</v>
      </c>
      <c r="D60" s="63"/>
      <c r="E60" s="64"/>
      <c r="F60" s="280">
        <f>F61+F62</f>
        <v>126</v>
      </c>
      <c r="G60" s="65">
        <f>G61+G62</f>
        <v>44.900000000000006</v>
      </c>
      <c r="H60" s="281">
        <v>0</v>
      </c>
      <c r="I60" s="66">
        <v>8.4550000000000001</v>
      </c>
      <c r="J60" s="67">
        <f>G60+I60</f>
        <v>53.355000000000004</v>
      </c>
      <c r="K60" s="68">
        <v>0</v>
      </c>
      <c r="L60" s="69">
        <v>123.812</v>
      </c>
      <c r="M60" s="68">
        <f>K60+L60</f>
        <v>123.812</v>
      </c>
      <c r="N60" s="70"/>
      <c r="O60" s="71"/>
      <c r="P60" s="71"/>
      <c r="Q60" s="72"/>
      <c r="R60" s="73"/>
      <c r="S60" s="144"/>
      <c r="T60" s="425" t="s">
        <v>86</v>
      </c>
      <c r="U60" s="425" t="s">
        <v>88</v>
      </c>
      <c r="V60" s="425"/>
      <c r="W60" s="74">
        <v>57.164932</v>
      </c>
      <c r="X60" s="75">
        <v>103.443625</v>
      </c>
      <c r="Y60" s="425"/>
      <c r="Z60" s="76"/>
      <c r="AA60" s="76"/>
      <c r="AB60" s="76"/>
      <c r="AC60" s="76"/>
      <c r="AD60" s="38"/>
      <c r="AE60" s="77">
        <v>1</v>
      </c>
      <c r="AF60" s="40"/>
      <c r="AG60" s="41"/>
      <c r="AH60" s="38"/>
      <c r="AI60" s="180">
        <f>F60</f>
        <v>126</v>
      </c>
      <c r="AJ60" s="42"/>
      <c r="AK60" s="41"/>
    </row>
    <row r="61" spans="1:37" x14ac:dyDescent="0.25">
      <c r="A61" s="149" t="s">
        <v>10</v>
      </c>
      <c r="B61" s="62"/>
      <c r="C61" s="63"/>
      <c r="D61" s="63"/>
      <c r="E61" s="64"/>
      <c r="F61" s="155">
        <v>63</v>
      </c>
      <c r="G61" s="271">
        <v>25.1</v>
      </c>
      <c r="H61" s="283"/>
      <c r="I61" s="78"/>
      <c r="J61" s="79"/>
      <c r="K61" s="79"/>
      <c r="L61" s="80"/>
      <c r="M61" s="81"/>
      <c r="N61" s="82">
        <f>J60</f>
        <v>53.355000000000004</v>
      </c>
      <c r="O61" s="83">
        <f>N61/F61*100</f>
        <v>84.69047619047619</v>
      </c>
      <c r="P61" s="336">
        <f>IF(G60&gt;(F61*1.05),0,(F61*1.05)-G60)</f>
        <v>21.25</v>
      </c>
      <c r="Q61" s="336">
        <f>IF(N61&gt;(F61*1.05),0,(F61*1.05)-N61)</f>
        <v>12.795000000000002</v>
      </c>
      <c r="R61" s="338">
        <f>IF(N61&gt;(1.05*F61),0,(F61*1.05)-N61)</f>
        <v>12.795000000000002</v>
      </c>
      <c r="S61" s="144">
        <f>R61</f>
        <v>12.795000000000002</v>
      </c>
      <c r="T61" s="426"/>
      <c r="U61" s="426"/>
      <c r="V61" s="426"/>
      <c r="W61" s="84"/>
      <c r="X61" s="85"/>
      <c r="Y61" s="426"/>
      <c r="Z61" s="76"/>
      <c r="AA61" s="76"/>
      <c r="AB61" s="76"/>
      <c r="AC61" s="76"/>
      <c r="AD61" s="38"/>
      <c r="AE61" s="77"/>
      <c r="AF61" s="40"/>
      <c r="AG61" s="41"/>
      <c r="AH61" s="38"/>
      <c r="AI61" s="77"/>
      <c r="AJ61" s="42"/>
      <c r="AK61" s="41"/>
    </row>
    <row r="62" spans="1:37" x14ac:dyDescent="0.25">
      <c r="A62" s="149" t="s">
        <v>7</v>
      </c>
      <c r="B62" s="62"/>
      <c r="C62" s="63"/>
      <c r="D62" s="63"/>
      <c r="E62" s="64"/>
      <c r="F62" s="155">
        <v>63</v>
      </c>
      <c r="G62" s="271">
        <v>19.8</v>
      </c>
      <c r="H62" s="287"/>
      <c r="I62" s="88"/>
      <c r="J62" s="89"/>
      <c r="K62" s="90"/>
      <c r="L62" s="90"/>
      <c r="M62" s="90"/>
      <c r="N62" s="91"/>
      <c r="O62" s="92"/>
      <c r="P62" s="92"/>
      <c r="Q62" s="72"/>
      <c r="R62" s="73"/>
      <c r="S62" s="144"/>
      <c r="T62" s="427"/>
      <c r="U62" s="427"/>
      <c r="V62" s="427"/>
      <c r="W62" s="93"/>
      <c r="X62" s="94"/>
      <c r="Y62" s="427"/>
      <c r="Z62" s="76"/>
      <c r="AA62" s="76"/>
      <c r="AB62" s="76"/>
      <c r="AC62" s="76"/>
      <c r="AD62" s="38"/>
      <c r="AE62" s="77"/>
      <c r="AF62" s="40"/>
      <c r="AG62" s="41"/>
      <c r="AH62" s="38"/>
      <c r="AI62" s="77"/>
      <c r="AJ62" s="42"/>
      <c r="AK62" s="41"/>
    </row>
    <row r="63" spans="1:37" s="341" customFormat="1" x14ac:dyDescent="0.2">
      <c r="A63" s="101" t="s">
        <v>56</v>
      </c>
      <c r="B63" s="102" t="s">
        <v>38</v>
      </c>
      <c r="C63" s="102" t="s">
        <v>38</v>
      </c>
      <c r="D63" s="102" t="s">
        <v>38</v>
      </c>
      <c r="E63" s="102" t="s">
        <v>38</v>
      </c>
      <c r="F63" s="308"/>
      <c r="G63" s="308"/>
      <c r="H63" s="297" t="s">
        <v>89</v>
      </c>
      <c r="I63" s="298" t="s">
        <v>38</v>
      </c>
      <c r="J63" s="309"/>
      <c r="K63" s="309"/>
      <c r="L63" s="309"/>
      <c r="M63" s="309"/>
      <c r="N63" s="309"/>
      <c r="O63" s="103"/>
      <c r="P63" s="103"/>
      <c r="Q63" s="104"/>
      <c r="R63" s="104"/>
      <c r="S63" s="104"/>
      <c r="T63" s="105"/>
      <c r="U63" s="106"/>
      <c r="V63" s="105"/>
      <c r="W63" s="107"/>
      <c r="X63" s="108"/>
      <c r="Y63" s="61"/>
      <c r="Z63" s="49"/>
      <c r="AA63" s="49"/>
      <c r="AB63" s="49"/>
      <c r="AC63" s="49"/>
      <c r="AD63" s="38"/>
      <c r="AE63" s="39"/>
      <c r="AF63" s="40"/>
      <c r="AG63" s="41"/>
      <c r="AH63" s="38"/>
      <c r="AI63" s="39"/>
      <c r="AJ63" s="42"/>
      <c r="AK63" s="41"/>
    </row>
    <row r="64" spans="1:37" s="76" customFormat="1" ht="12.75" customHeight="1" x14ac:dyDescent="0.25">
      <c r="A64" s="181" t="s">
        <v>90</v>
      </c>
      <c r="B64" s="110"/>
      <c r="C64" s="96"/>
      <c r="D64" s="96" t="s">
        <v>49</v>
      </c>
      <c r="E64" s="111"/>
      <c r="F64" s="280">
        <f>F65+F66</f>
        <v>12.6</v>
      </c>
      <c r="G64" s="65">
        <f>G65+G66</f>
        <v>4.0999999999999996</v>
      </c>
      <c r="H64" s="292">
        <f>0.70779+0.133</f>
        <v>0.84079000000000004</v>
      </c>
      <c r="I64" s="292">
        <f>0.70779+0.133</f>
        <v>0.84079000000000004</v>
      </c>
      <c r="J64" s="67">
        <f>G64+I64</f>
        <v>4.9407899999999998</v>
      </c>
      <c r="K64" s="68">
        <v>9.4749999999999996</v>
      </c>
      <c r="L64" s="69">
        <v>3</v>
      </c>
      <c r="M64" s="68">
        <f>K64+L64</f>
        <v>12.475</v>
      </c>
      <c r="N64" s="70"/>
      <c r="O64" s="71"/>
      <c r="P64" s="71"/>
      <c r="Q64" s="72"/>
      <c r="R64" s="73"/>
      <c r="S64" s="144"/>
      <c r="T64" s="425" t="s">
        <v>86</v>
      </c>
      <c r="U64" s="425" t="s">
        <v>88</v>
      </c>
      <c r="V64" s="425"/>
      <c r="W64" s="74">
        <v>57.162934999999997</v>
      </c>
      <c r="X64" s="75">
        <v>103.443033</v>
      </c>
      <c r="Y64" s="425"/>
      <c r="AD64" s="38"/>
      <c r="AE64" s="77"/>
      <c r="AF64" s="40">
        <v>1</v>
      </c>
      <c r="AG64" s="41"/>
      <c r="AH64" s="38"/>
      <c r="AI64" s="77"/>
      <c r="AJ64" s="147">
        <f>F64</f>
        <v>12.6</v>
      </c>
      <c r="AK64" s="41"/>
    </row>
    <row r="65" spans="1:37" s="76" customFormat="1" x14ac:dyDescent="0.25">
      <c r="A65" s="149" t="s">
        <v>10</v>
      </c>
      <c r="B65" s="62"/>
      <c r="C65" s="63"/>
      <c r="D65" s="63"/>
      <c r="E65" s="64"/>
      <c r="F65" s="155">
        <v>6.3</v>
      </c>
      <c r="G65" s="271">
        <v>1.5</v>
      </c>
      <c r="H65" s="283"/>
      <c r="I65" s="78"/>
      <c r="J65" s="79"/>
      <c r="K65" s="79"/>
      <c r="L65" s="80"/>
      <c r="M65" s="81"/>
      <c r="N65" s="82">
        <f>J64</f>
        <v>4.9407899999999998</v>
      </c>
      <c r="O65" s="83">
        <f>N65/F65*100</f>
        <v>78.425238095238086</v>
      </c>
      <c r="P65" s="336">
        <f>IF(G64&gt;(F65*1.05),0,(F65*1.05)-G64)</f>
        <v>2.5150000000000006</v>
      </c>
      <c r="Q65" s="336">
        <f>IF(N65&gt;(F65*1.05),0,(F65*1.05)-N65)</f>
        <v>1.6742100000000004</v>
      </c>
      <c r="R65" s="338">
        <f>IF(N65&gt;(1.05*F65),0,(F65*1.05)-N65)</f>
        <v>1.6742100000000004</v>
      </c>
      <c r="S65" s="144">
        <f>R65</f>
        <v>1.6742100000000004</v>
      </c>
      <c r="T65" s="426"/>
      <c r="U65" s="426"/>
      <c r="V65" s="426"/>
      <c r="W65" s="84"/>
      <c r="X65" s="85"/>
      <c r="Y65" s="426"/>
      <c r="AD65" s="38"/>
      <c r="AE65" s="77"/>
      <c r="AF65" s="40"/>
      <c r="AG65" s="41"/>
      <c r="AH65" s="38"/>
      <c r="AI65" s="77"/>
      <c r="AJ65" s="42"/>
      <c r="AK65" s="41"/>
    </row>
    <row r="66" spans="1:37" s="76" customFormat="1" x14ac:dyDescent="0.25">
      <c r="A66" s="149" t="s">
        <v>7</v>
      </c>
      <c r="B66" s="62"/>
      <c r="C66" s="63"/>
      <c r="D66" s="63"/>
      <c r="E66" s="64"/>
      <c r="F66" s="155">
        <v>6.3</v>
      </c>
      <c r="G66" s="271">
        <v>2.6</v>
      </c>
      <c r="H66" s="287"/>
      <c r="I66" s="88"/>
      <c r="J66" s="89"/>
      <c r="K66" s="90"/>
      <c r="L66" s="90"/>
      <c r="M66" s="90"/>
      <c r="N66" s="91"/>
      <c r="O66" s="92"/>
      <c r="P66" s="92"/>
      <c r="Q66" s="72"/>
      <c r="R66" s="73"/>
      <c r="S66" s="144"/>
      <c r="T66" s="427"/>
      <c r="U66" s="427"/>
      <c r="V66" s="427"/>
      <c r="W66" s="93"/>
      <c r="X66" s="94"/>
      <c r="Y66" s="427"/>
      <c r="AD66" s="38"/>
      <c r="AE66" s="77"/>
      <c r="AF66" s="40"/>
      <c r="AG66" s="41"/>
      <c r="AH66" s="38"/>
      <c r="AI66" s="77"/>
      <c r="AJ66" s="42"/>
      <c r="AK66" s="41"/>
    </row>
    <row r="67" spans="1:37" s="341" customFormat="1" x14ac:dyDescent="0.2">
      <c r="A67" s="101" t="s">
        <v>56</v>
      </c>
      <c r="B67" s="102" t="s">
        <v>38</v>
      </c>
      <c r="C67" s="102" t="s">
        <v>38</v>
      </c>
      <c r="D67" s="102" t="s">
        <v>38</v>
      </c>
      <c r="E67" s="102" t="s">
        <v>38</v>
      </c>
      <c r="F67" s="308"/>
      <c r="G67" s="308"/>
      <c r="H67" s="299" t="s">
        <v>89</v>
      </c>
      <c r="I67" s="298" t="s">
        <v>38</v>
      </c>
      <c r="J67" s="309"/>
      <c r="K67" s="309"/>
      <c r="L67" s="309"/>
      <c r="M67" s="309"/>
      <c r="N67" s="309"/>
      <c r="O67" s="103"/>
      <c r="P67" s="103"/>
      <c r="Q67" s="104"/>
      <c r="R67" s="104"/>
      <c r="S67" s="104"/>
      <c r="T67" s="105"/>
      <c r="U67" s="106"/>
      <c r="V67" s="105"/>
      <c r="W67" s="107"/>
      <c r="X67" s="108"/>
      <c r="Y67" s="61"/>
      <c r="Z67" s="49"/>
      <c r="AA67" s="49"/>
      <c r="AB67" s="49"/>
      <c r="AC67" s="49"/>
      <c r="AD67" s="38"/>
      <c r="AE67" s="39"/>
      <c r="AF67" s="40"/>
      <c r="AG67" s="41"/>
      <c r="AH67" s="38"/>
      <c r="AI67" s="39"/>
      <c r="AJ67" s="42"/>
      <c r="AK67" s="41"/>
    </row>
    <row r="68" spans="1:37" s="76" customFormat="1" ht="12.75" customHeight="1" x14ac:dyDescent="0.25">
      <c r="A68" s="181" t="s">
        <v>91</v>
      </c>
      <c r="B68" s="110"/>
      <c r="C68" s="96"/>
      <c r="D68" s="96" t="s">
        <v>49</v>
      </c>
      <c r="E68" s="111"/>
      <c r="F68" s="280">
        <f>F69+F70</f>
        <v>26</v>
      </c>
      <c r="G68" s="65">
        <f>G69+G70</f>
        <v>1.3</v>
      </c>
      <c r="H68" s="281">
        <v>0.03</v>
      </c>
      <c r="I68" s="66">
        <v>0.03</v>
      </c>
      <c r="J68" s="67">
        <f>G68+I68</f>
        <v>1.33</v>
      </c>
      <c r="K68" s="68">
        <v>0</v>
      </c>
      <c r="L68" s="69">
        <v>2.6</v>
      </c>
      <c r="M68" s="68">
        <f>K68+L68</f>
        <v>2.6</v>
      </c>
      <c r="N68" s="70"/>
      <c r="O68" s="71"/>
      <c r="P68" s="71"/>
      <c r="Q68" s="72"/>
      <c r="R68" s="73"/>
      <c r="S68" s="144"/>
      <c r="T68" s="425" t="s">
        <v>86</v>
      </c>
      <c r="U68" s="425" t="s">
        <v>92</v>
      </c>
      <c r="V68" s="425"/>
      <c r="W68" s="74">
        <v>57.349527000000002</v>
      </c>
      <c r="X68" s="75">
        <v>103.38576500000001</v>
      </c>
      <c r="Y68" s="431" t="s">
        <v>249</v>
      </c>
      <c r="AD68" s="38"/>
      <c r="AE68" s="77"/>
      <c r="AF68" s="40">
        <v>1</v>
      </c>
      <c r="AG68" s="41"/>
      <c r="AH68" s="38"/>
      <c r="AI68" s="77"/>
      <c r="AJ68" s="147">
        <f>F68</f>
        <v>26</v>
      </c>
      <c r="AK68" s="41"/>
    </row>
    <row r="69" spans="1:37" s="76" customFormat="1" x14ac:dyDescent="0.25">
      <c r="A69" s="149" t="s">
        <v>10</v>
      </c>
      <c r="B69" s="62"/>
      <c r="C69" s="63"/>
      <c r="D69" s="63"/>
      <c r="E69" s="64"/>
      <c r="F69" s="155">
        <v>16</v>
      </c>
      <c r="G69" s="271">
        <v>1.3</v>
      </c>
      <c r="H69" s="283"/>
      <c r="I69" s="78"/>
      <c r="J69" s="79"/>
      <c r="K69" s="79"/>
      <c r="L69" s="80"/>
      <c r="M69" s="81"/>
      <c r="N69" s="82">
        <f>J68</f>
        <v>1.33</v>
      </c>
      <c r="O69" s="83">
        <f>N69/F69*100</f>
        <v>8.3125</v>
      </c>
      <c r="P69" s="336">
        <f>IF(G68&gt;(F69*1.05),0,(F69*1.05)-G68)</f>
        <v>15.5</v>
      </c>
      <c r="Q69" s="336">
        <f>IF(N69&gt;(F69*1.05),0,(F69*1.05)-N69)</f>
        <v>15.47</v>
      </c>
      <c r="R69" s="338">
        <f>IF(N69&gt;(1.05*F69),0,(F69*1.05)-N69)</f>
        <v>15.47</v>
      </c>
      <c r="S69" s="381">
        <f>S61</f>
        <v>12.795000000000002</v>
      </c>
      <c r="T69" s="426"/>
      <c r="U69" s="426"/>
      <c r="V69" s="426"/>
      <c r="W69" s="84"/>
      <c r="X69" s="85"/>
      <c r="Y69" s="432"/>
      <c r="AD69" s="38"/>
      <c r="AE69" s="77"/>
      <c r="AF69" s="40"/>
      <c r="AG69" s="41"/>
      <c r="AH69" s="38"/>
      <c r="AI69" s="77"/>
      <c r="AJ69" s="42"/>
      <c r="AK69" s="41"/>
    </row>
    <row r="70" spans="1:37" s="76" customFormat="1" x14ac:dyDescent="0.25">
      <c r="A70" s="149" t="s">
        <v>7</v>
      </c>
      <c r="B70" s="62"/>
      <c r="C70" s="63"/>
      <c r="D70" s="63"/>
      <c r="E70" s="64"/>
      <c r="F70" s="155">
        <v>10</v>
      </c>
      <c r="G70" s="271">
        <v>0</v>
      </c>
      <c r="H70" s="287"/>
      <c r="I70" s="88"/>
      <c r="J70" s="89"/>
      <c r="K70" s="90"/>
      <c r="L70" s="90"/>
      <c r="M70" s="90"/>
      <c r="N70" s="91"/>
      <c r="O70" s="92"/>
      <c r="P70" s="92"/>
      <c r="Q70" s="72"/>
      <c r="R70" s="73"/>
      <c r="S70" s="144"/>
      <c r="T70" s="427"/>
      <c r="U70" s="427"/>
      <c r="V70" s="427"/>
      <c r="W70" s="93"/>
      <c r="X70" s="94"/>
      <c r="Y70" s="433"/>
      <c r="AD70" s="38"/>
      <c r="AE70" s="77"/>
      <c r="AF70" s="40"/>
      <c r="AG70" s="41"/>
      <c r="AH70" s="38"/>
      <c r="AI70" s="77"/>
      <c r="AJ70" s="42"/>
      <c r="AK70" s="41"/>
    </row>
    <row r="71" spans="1:37" s="341" customFormat="1" x14ac:dyDescent="0.2">
      <c r="A71" s="101" t="s">
        <v>56</v>
      </c>
      <c r="B71" s="102" t="s">
        <v>38</v>
      </c>
      <c r="C71" s="102" t="s">
        <v>38</v>
      </c>
      <c r="D71" s="102" t="s">
        <v>38</v>
      </c>
      <c r="E71" s="102" t="s">
        <v>38</v>
      </c>
      <c r="F71" s="308"/>
      <c r="G71" s="308"/>
      <c r="H71" s="299" t="s">
        <v>89</v>
      </c>
      <c r="I71" s="298" t="s">
        <v>38</v>
      </c>
      <c r="J71" s="309"/>
      <c r="K71" s="309"/>
      <c r="L71" s="309"/>
      <c r="M71" s="309"/>
      <c r="N71" s="309"/>
      <c r="O71" s="103"/>
      <c r="P71" s="103"/>
      <c r="Q71" s="104"/>
      <c r="R71" s="104"/>
      <c r="S71" s="104"/>
      <c r="T71" s="105"/>
      <c r="U71" s="106"/>
      <c r="V71" s="105"/>
      <c r="W71" s="107"/>
      <c r="X71" s="108"/>
      <c r="Y71" s="61"/>
      <c r="Z71" s="49"/>
      <c r="AA71" s="49"/>
      <c r="AB71" s="49"/>
      <c r="AC71" s="49"/>
      <c r="AD71" s="38"/>
      <c r="AE71" s="39"/>
      <c r="AF71" s="40"/>
      <c r="AG71" s="41"/>
      <c r="AH71" s="38"/>
      <c r="AI71" s="39"/>
      <c r="AJ71" s="42"/>
      <c r="AK71" s="41"/>
    </row>
    <row r="72" spans="1:37" ht="12.75" customHeight="1" x14ac:dyDescent="0.25">
      <c r="A72" s="182" t="s">
        <v>93</v>
      </c>
      <c r="B72" s="110"/>
      <c r="C72" s="96"/>
      <c r="D72" s="96" t="s">
        <v>49</v>
      </c>
      <c r="E72" s="111"/>
      <c r="F72" s="280">
        <f>F73+F74</f>
        <v>32</v>
      </c>
      <c r="G72" s="65">
        <f>G73+G74</f>
        <v>6.1999999999999993</v>
      </c>
      <c r="H72" s="281">
        <v>7.7</v>
      </c>
      <c r="I72" s="66">
        <v>7.7</v>
      </c>
      <c r="J72" s="67">
        <f>G72+I72</f>
        <v>13.899999999999999</v>
      </c>
      <c r="K72" s="68">
        <v>0</v>
      </c>
      <c r="L72" s="69">
        <v>10</v>
      </c>
      <c r="M72" s="68">
        <f>K72+L72</f>
        <v>10</v>
      </c>
      <c r="N72" s="70"/>
      <c r="O72" s="71"/>
      <c r="P72" s="71"/>
      <c r="Q72" s="72"/>
      <c r="R72" s="73"/>
      <c r="S72" s="144"/>
      <c r="T72" s="425" t="s">
        <v>86</v>
      </c>
      <c r="U72" s="425" t="s">
        <v>94</v>
      </c>
      <c r="V72" s="425"/>
      <c r="W72" s="74">
        <v>57.814552999999997</v>
      </c>
      <c r="X72" s="75">
        <v>103.554216</v>
      </c>
      <c r="Y72" s="425"/>
      <c r="AD72" s="38"/>
      <c r="AE72" s="39"/>
      <c r="AF72" s="40">
        <v>1</v>
      </c>
      <c r="AG72" s="41"/>
      <c r="AH72" s="38"/>
      <c r="AI72" s="39"/>
      <c r="AJ72" s="147">
        <f>F72</f>
        <v>32</v>
      </c>
      <c r="AK72" s="41"/>
    </row>
    <row r="73" spans="1:37" s="76" customFormat="1" x14ac:dyDescent="0.25">
      <c r="A73" s="182" t="s">
        <v>10</v>
      </c>
      <c r="B73" s="62"/>
      <c r="C73" s="63"/>
      <c r="D73" s="63"/>
      <c r="E73" s="64"/>
      <c r="F73" s="155">
        <v>16</v>
      </c>
      <c r="G73" s="271">
        <v>2.9</v>
      </c>
      <c r="H73" s="283"/>
      <c r="I73" s="78"/>
      <c r="J73" s="79"/>
      <c r="K73" s="79"/>
      <c r="L73" s="80"/>
      <c r="M73" s="81"/>
      <c r="N73" s="82">
        <f>J72</f>
        <v>13.899999999999999</v>
      </c>
      <c r="O73" s="83">
        <f>N73/F73*100</f>
        <v>86.874999999999986</v>
      </c>
      <c r="P73" s="336">
        <f>IF(G72&gt;(F73*1.05),0,(F73*1.05)-G72)</f>
        <v>10.600000000000001</v>
      </c>
      <c r="Q73" s="336">
        <f>IF(N73&gt;(F73*1.05),0,(F73*1.05)-N73)</f>
        <v>2.9000000000000021</v>
      </c>
      <c r="R73" s="338">
        <f>IF(N73&gt;(1.05*F73),0,(F73*1.05)-N73)</f>
        <v>2.9000000000000021</v>
      </c>
      <c r="S73" s="144">
        <f>R73</f>
        <v>2.9000000000000021</v>
      </c>
      <c r="T73" s="426"/>
      <c r="U73" s="426"/>
      <c r="V73" s="426"/>
      <c r="W73" s="84"/>
      <c r="X73" s="85"/>
      <c r="Y73" s="426"/>
      <c r="AD73" s="38"/>
      <c r="AE73" s="77"/>
      <c r="AF73" s="40"/>
      <c r="AG73" s="41"/>
      <c r="AH73" s="38"/>
      <c r="AI73" s="77"/>
      <c r="AJ73" s="42"/>
      <c r="AK73" s="41"/>
    </row>
    <row r="74" spans="1:37" s="76" customFormat="1" x14ac:dyDescent="0.25">
      <c r="A74" s="182" t="s">
        <v>7</v>
      </c>
      <c r="B74" s="62"/>
      <c r="C74" s="63"/>
      <c r="D74" s="63"/>
      <c r="E74" s="64"/>
      <c r="F74" s="155">
        <v>16</v>
      </c>
      <c r="G74" s="271">
        <v>3.3</v>
      </c>
      <c r="H74" s="287"/>
      <c r="I74" s="88"/>
      <c r="J74" s="89"/>
      <c r="K74" s="90"/>
      <c r="L74" s="90"/>
      <c r="M74" s="90"/>
      <c r="N74" s="91"/>
      <c r="O74" s="92"/>
      <c r="P74" s="92"/>
      <c r="Q74" s="72"/>
      <c r="R74" s="73"/>
      <c r="S74" s="144"/>
      <c r="T74" s="427"/>
      <c r="U74" s="427"/>
      <c r="V74" s="427"/>
      <c r="W74" s="93"/>
      <c r="X74" s="94"/>
      <c r="Y74" s="427"/>
      <c r="AD74" s="38"/>
      <c r="AE74" s="77"/>
      <c r="AF74" s="40"/>
      <c r="AG74" s="41"/>
      <c r="AH74" s="38"/>
      <c r="AI74" s="77"/>
      <c r="AJ74" s="42"/>
      <c r="AK74" s="41"/>
    </row>
    <row r="75" spans="1:37" s="341" customFormat="1" x14ac:dyDescent="0.2">
      <c r="A75" s="101" t="s">
        <v>56</v>
      </c>
      <c r="B75" s="102" t="s">
        <v>38</v>
      </c>
      <c r="C75" s="102" t="s">
        <v>38</v>
      </c>
      <c r="D75" s="102" t="s">
        <v>38</v>
      </c>
      <c r="E75" s="102" t="s">
        <v>38</v>
      </c>
      <c r="F75" s="308"/>
      <c r="G75" s="308"/>
      <c r="H75" s="299" t="s">
        <v>89</v>
      </c>
      <c r="I75" s="298" t="s">
        <v>38</v>
      </c>
      <c r="J75" s="309"/>
      <c r="K75" s="309"/>
      <c r="L75" s="309"/>
      <c r="M75" s="309"/>
      <c r="N75" s="309"/>
      <c r="O75" s="103"/>
      <c r="P75" s="103"/>
      <c r="Q75" s="104"/>
      <c r="R75" s="104"/>
      <c r="S75" s="104"/>
      <c r="T75" s="105"/>
      <c r="U75" s="106"/>
      <c r="V75" s="105"/>
      <c r="W75" s="107"/>
      <c r="X75" s="108"/>
      <c r="Y75" s="61"/>
      <c r="Z75" s="49"/>
      <c r="AA75" s="49"/>
      <c r="AB75" s="49"/>
      <c r="AC75" s="49"/>
      <c r="AD75" s="38"/>
      <c r="AE75" s="39"/>
      <c r="AF75" s="40"/>
      <c r="AG75" s="41"/>
      <c r="AH75" s="38"/>
      <c r="AI75" s="39"/>
      <c r="AJ75" s="42"/>
      <c r="AK75" s="41"/>
    </row>
    <row r="76" spans="1:37" s="341" customFormat="1" ht="12.75" customHeight="1" x14ac:dyDescent="0.25">
      <c r="A76" s="181" t="s">
        <v>95</v>
      </c>
      <c r="B76" s="110"/>
      <c r="C76" s="96"/>
      <c r="D76" s="96" t="s">
        <v>85</v>
      </c>
      <c r="E76" s="111"/>
      <c r="F76" s="280">
        <f>F77+F78</f>
        <v>50</v>
      </c>
      <c r="G76" s="65">
        <f>G77+G78</f>
        <v>3.8</v>
      </c>
      <c r="H76" s="281">
        <f>0.061+0.005+0.02</f>
        <v>8.6000000000000007E-2</v>
      </c>
      <c r="I76" s="281">
        <f>0.061+0.005+0.02</f>
        <v>8.6000000000000007E-2</v>
      </c>
      <c r="J76" s="67">
        <f>G76+I76</f>
        <v>3.8859999999999997</v>
      </c>
      <c r="K76" s="68">
        <v>5.3650000000000002</v>
      </c>
      <c r="L76" s="69">
        <v>16.350000000000001</v>
      </c>
      <c r="M76" s="68">
        <f>K76+L76</f>
        <v>21.715000000000003</v>
      </c>
      <c r="N76" s="70"/>
      <c r="O76" s="71"/>
      <c r="P76" s="71"/>
      <c r="Q76" s="72"/>
      <c r="R76" s="73"/>
      <c r="S76" s="144"/>
      <c r="T76" s="425" t="s">
        <v>86</v>
      </c>
      <c r="U76" s="425" t="s">
        <v>96</v>
      </c>
      <c r="V76" s="425"/>
      <c r="W76" s="74">
        <v>57.175992999999998</v>
      </c>
      <c r="X76" s="75">
        <v>103.413802</v>
      </c>
      <c r="Y76" s="431" t="s">
        <v>249</v>
      </c>
      <c r="Z76" s="49"/>
      <c r="AA76" s="49"/>
      <c r="AB76" s="49"/>
      <c r="AC76" s="49"/>
      <c r="AD76" s="38"/>
      <c r="AE76" s="39"/>
      <c r="AF76" s="40">
        <v>1</v>
      </c>
      <c r="AG76" s="41"/>
      <c r="AH76" s="38"/>
      <c r="AI76" s="39"/>
      <c r="AJ76" s="147">
        <f>F76</f>
        <v>50</v>
      </c>
      <c r="AK76" s="41"/>
    </row>
    <row r="77" spans="1:37" x14ac:dyDescent="0.25">
      <c r="A77" s="149" t="s">
        <v>10</v>
      </c>
      <c r="B77" s="62"/>
      <c r="C77" s="63"/>
      <c r="D77" s="63"/>
      <c r="E77" s="64"/>
      <c r="F77" s="155">
        <v>25</v>
      </c>
      <c r="G77" s="271">
        <v>1.5</v>
      </c>
      <c r="H77" s="283"/>
      <c r="I77" s="78"/>
      <c r="J77" s="79"/>
      <c r="K77" s="79"/>
      <c r="L77" s="80"/>
      <c r="M77" s="81"/>
      <c r="N77" s="82">
        <f>J76</f>
        <v>3.8859999999999997</v>
      </c>
      <c r="O77" s="83">
        <f>N77/F77*100</f>
        <v>15.543999999999999</v>
      </c>
      <c r="P77" s="336">
        <f>IF(G76&gt;(F77*1.05),0,(F77*1.05)-G76)</f>
        <v>22.45</v>
      </c>
      <c r="Q77" s="336">
        <f>IF(N77&gt;(F77*1.05),0,(F77*1.05)-N77)</f>
        <v>22.364000000000001</v>
      </c>
      <c r="R77" s="338">
        <f>IF(N77&gt;(1.05*F77),0,(F77*1.05)-N77)</f>
        <v>22.364000000000001</v>
      </c>
      <c r="S77" s="381">
        <f>S61</f>
        <v>12.795000000000002</v>
      </c>
      <c r="T77" s="426"/>
      <c r="U77" s="426"/>
      <c r="V77" s="426"/>
      <c r="W77" s="84"/>
      <c r="X77" s="85"/>
      <c r="Y77" s="432"/>
      <c r="AD77" s="38"/>
      <c r="AE77" s="39"/>
      <c r="AF77" s="40"/>
      <c r="AG77" s="41"/>
      <c r="AH77" s="38"/>
      <c r="AI77" s="39"/>
      <c r="AJ77" s="42"/>
      <c r="AK77" s="41"/>
    </row>
    <row r="78" spans="1:37" x14ac:dyDescent="0.25">
      <c r="A78" s="149" t="s">
        <v>7</v>
      </c>
      <c r="B78" s="62"/>
      <c r="C78" s="63"/>
      <c r="D78" s="63"/>
      <c r="E78" s="64"/>
      <c r="F78" s="155">
        <v>25</v>
      </c>
      <c r="G78" s="271">
        <v>2.2999999999999998</v>
      </c>
      <c r="H78" s="287"/>
      <c r="I78" s="88"/>
      <c r="J78" s="89"/>
      <c r="K78" s="90"/>
      <c r="L78" s="90"/>
      <c r="M78" s="90"/>
      <c r="N78" s="91"/>
      <c r="O78" s="92"/>
      <c r="P78" s="92"/>
      <c r="Q78" s="72"/>
      <c r="R78" s="73"/>
      <c r="S78" s="144"/>
      <c r="T78" s="427"/>
      <c r="U78" s="427"/>
      <c r="V78" s="427"/>
      <c r="W78" s="93"/>
      <c r="X78" s="94"/>
      <c r="Y78" s="433"/>
      <c r="AD78" s="38"/>
      <c r="AE78" s="39"/>
      <c r="AF78" s="40"/>
      <c r="AG78" s="41"/>
      <c r="AH78" s="38"/>
      <c r="AI78" s="39"/>
      <c r="AJ78" s="42"/>
      <c r="AK78" s="41"/>
    </row>
    <row r="79" spans="1:37" s="341" customFormat="1" x14ac:dyDescent="0.2">
      <c r="A79" s="101" t="s">
        <v>56</v>
      </c>
      <c r="B79" s="102" t="s">
        <v>38</v>
      </c>
      <c r="C79" s="102" t="s">
        <v>38</v>
      </c>
      <c r="D79" s="102" t="s">
        <v>38</v>
      </c>
      <c r="E79" s="102" t="s">
        <v>38</v>
      </c>
      <c r="F79" s="308"/>
      <c r="G79" s="308"/>
      <c r="H79" s="299" t="s">
        <v>89</v>
      </c>
      <c r="I79" s="298" t="s">
        <v>38</v>
      </c>
      <c r="J79" s="309"/>
      <c r="K79" s="309"/>
      <c r="L79" s="309"/>
      <c r="M79" s="309"/>
      <c r="N79" s="309"/>
      <c r="O79" s="103"/>
      <c r="P79" s="103"/>
      <c r="Q79" s="104"/>
      <c r="R79" s="104"/>
      <c r="S79" s="104"/>
      <c r="T79" s="105"/>
      <c r="U79" s="106"/>
      <c r="V79" s="105"/>
      <c r="W79" s="107"/>
      <c r="X79" s="108"/>
      <c r="Y79" s="61"/>
      <c r="Z79" s="49"/>
      <c r="AA79" s="49"/>
      <c r="AB79" s="49"/>
      <c r="AC79" s="49"/>
      <c r="AD79" s="38"/>
      <c r="AE79" s="39"/>
      <c r="AF79" s="40"/>
      <c r="AG79" s="41"/>
      <c r="AH79" s="38"/>
      <c r="AI79" s="39"/>
      <c r="AJ79" s="42"/>
      <c r="AK79" s="41"/>
    </row>
    <row r="80" spans="1:37" s="341" customFormat="1" ht="12.75" customHeight="1" x14ac:dyDescent="0.25">
      <c r="A80" s="183" t="s">
        <v>97</v>
      </c>
      <c r="B80" s="110"/>
      <c r="C80" s="96"/>
      <c r="D80" s="96" t="s">
        <v>98</v>
      </c>
      <c r="E80" s="111"/>
      <c r="F80" s="280">
        <f>F81+F82</f>
        <v>32</v>
      </c>
      <c r="G80" s="65">
        <f>G81+G82</f>
        <v>5.8</v>
      </c>
      <c r="H80" s="281">
        <f>0.83725+0.0995+0.035</f>
        <v>0.97175000000000011</v>
      </c>
      <c r="I80" s="281">
        <f>0.83725+0.0995+0.035</f>
        <v>0.97175000000000011</v>
      </c>
      <c r="J80" s="148">
        <f>G80+I80</f>
        <v>6.7717499999999999</v>
      </c>
      <c r="K80" s="68">
        <v>5.5129999999999999</v>
      </c>
      <c r="L80" s="69">
        <v>13.53</v>
      </c>
      <c r="M80" s="68">
        <f>K80+L80</f>
        <v>19.042999999999999</v>
      </c>
      <c r="N80" s="70"/>
      <c r="O80" s="71"/>
      <c r="P80" s="71"/>
      <c r="Q80" s="72"/>
      <c r="R80" s="73"/>
      <c r="S80" s="144"/>
      <c r="T80" s="425" t="s">
        <v>86</v>
      </c>
      <c r="U80" s="425" t="s">
        <v>99</v>
      </c>
      <c r="V80" s="425"/>
      <c r="W80" s="74">
        <v>56.563735000000001</v>
      </c>
      <c r="X80" s="75">
        <v>103.359613</v>
      </c>
      <c r="Y80" s="425"/>
      <c r="Z80" s="49"/>
      <c r="AA80" s="49"/>
      <c r="AB80" s="49"/>
      <c r="AC80" s="49"/>
      <c r="AD80" s="38"/>
      <c r="AE80" s="39"/>
      <c r="AF80" s="40">
        <v>1</v>
      </c>
      <c r="AG80" s="41"/>
      <c r="AH80" s="38"/>
      <c r="AI80" s="39"/>
      <c r="AJ80" s="147">
        <f>F80</f>
        <v>32</v>
      </c>
      <c r="AK80" s="41"/>
    </row>
    <row r="81" spans="1:37" s="4" customFormat="1" ht="14.25" x14ac:dyDescent="0.25">
      <c r="A81" s="149" t="s">
        <v>10</v>
      </c>
      <c r="B81" s="62"/>
      <c r="C81" s="63"/>
      <c r="D81" s="63"/>
      <c r="E81" s="64"/>
      <c r="F81" s="155">
        <v>16</v>
      </c>
      <c r="G81" s="271">
        <v>1.2</v>
      </c>
      <c r="H81" s="283"/>
      <c r="I81" s="78"/>
      <c r="J81" s="79"/>
      <c r="K81" s="79"/>
      <c r="L81" s="80"/>
      <c r="M81" s="81"/>
      <c r="N81" s="82">
        <f>J80</f>
        <v>6.7717499999999999</v>
      </c>
      <c r="O81" s="83">
        <f>N81/F81*100</f>
        <v>42.323437499999997</v>
      </c>
      <c r="P81" s="336">
        <f>IF(G80&gt;(F81*1.05),0,(F81*1.05)-G80)</f>
        <v>11</v>
      </c>
      <c r="Q81" s="336">
        <f>IF(N81&gt;(F81*1.05),0,(F81*1.05)-N81)</f>
        <v>10.02825</v>
      </c>
      <c r="R81" s="338">
        <f>IF(N81&gt;(1.05*F81),0,(F81*1.05)-N81)</f>
        <v>10.02825</v>
      </c>
      <c r="S81" s="144">
        <f>R81</f>
        <v>10.02825</v>
      </c>
      <c r="T81" s="426"/>
      <c r="U81" s="426"/>
      <c r="V81" s="426"/>
      <c r="W81" s="84"/>
      <c r="X81" s="85"/>
      <c r="Y81" s="426"/>
      <c r="AD81" s="184"/>
      <c r="AE81" s="185"/>
      <c r="AF81" s="186"/>
      <c r="AG81" s="187"/>
      <c r="AH81" s="184"/>
      <c r="AI81" s="185"/>
      <c r="AJ81" s="188"/>
      <c r="AK81" s="187"/>
    </row>
    <row r="82" spans="1:37" s="4" customFormat="1" ht="14.25" x14ac:dyDescent="0.25">
      <c r="A82" s="149" t="s">
        <v>7</v>
      </c>
      <c r="B82" s="62"/>
      <c r="C82" s="63"/>
      <c r="D82" s="63"/>
      <c r="E82" s="64"/>
      <c r="F82" s="155">
        <v>16</v>
      </c>
      <c r="G82" s="271">
        <v>4.5999999999999996</v>
      </c>
      <c r="H82" s="287"/>
      <c r="I82" s="88"/>
      <c r="J82" s="89"/>
      <c r="K82" s="90"/>
      <c r="L82" s="90"/>
      <c r="M82" s="90"/>
      <c r="N82" s="91"/>
      <c r="O82" s="92"/>
      <c r="P82" s="92"/>
      <c r="Q82" s="72"/>
      <c r="R82" s="73"/>
      <c r="S82" s="144"/>
      <c r="T82" s="427"/>
      <c r="U82" s="427"/>
      <c r="V82" s="427"/>
      <c r="W82" s="93"/>
      <c r="X82" s="94"/>
      <c r="Y82" s="427"/>
      <c r="AD82" s="184"/>
      <c r="AE82" s="185"/>
      <c r="AF82" s="186"/>
      <c r="AG82" s="187"/>
      <c r="AH82" s="184"/>
      <c r="AI82" s="185"/>
      <c r="AJ82" s="188"/>
      <c r="AK82" s="187"/>
    </row>
    <row r="83" spans="1:37" s="341" customFormat="1" x14ac:dyDescent="0.2">
      <c r="A83" s="125" t="s">
        <v>59</v>
      </c>
      <c r="B83" s="126" t="s">
        <v>38</v>
      </c>
      <c r="C83" s="126" t="s">
        <v>38</v>
      </c>
      <c r="D83" s="126" t="s">
        <v>38</v>
      </c>
      <c r="E83" s="126" t="s">
        <v>38</v>
      </c>
      <c r="F83" s="127"/>
      <c r="G83" s="127"/>
      <c r="H83" s="279" t="s">
        <v>100</v>
      </c>
      <c r="I83" s="129" t="s">
        <v>38</v>
      </c>
      <c r="J83" s="128"/>
      <c r="K83" s="128"/>
      <c r="L83" s="128"/>
      <c r="M83" s="128"/>
      <c r="N83" s="128"/>
      <c r="O83" s="130"/>
      <c r="P83" s="130"/>
      <c r="Q83" s="131"/>
      <c r="R83" s="131"/>
      <c r="S83" s="131"/>
      <c r="T83" s="134"/>
      <c r="U83" s="133"/>
      <c r="V83" s="134"/>
      <c r="W83" s="135"/>
      <c r="X83" s="136"/>
      <c r="Y83" s="61"/>
      <c r="Z83" s="49"/>
      <c r="AA83" s="49"/>
      <c r="AB83" s="49"/>
      <c r="AC83" s="49"/>
      <c r="AD83" s="38"/>
      <c r="AE83" s="39"/>
      <c r="AF83" s="40"/>
      <c r="AG83" s="41"/>
      <c r="AH83" s="38"/>
      <c r="AI83" s="39"/>
      <c r="AJ83" s="42"/>
      <c r="AK83" s="41"/>
    </row>
    <row r="84" spans="1:37" s="4" customFormat="1" x14ac:dyDescent="0.25">
      <c r="A84" s="182" t="s">
        <v>101</v>
      </c>
      <c r="B84" s="137"/>
      <c r="C84" s="138"/>
      <c r="D84" s="138"/>
      <c r="E84" s="139" t="s">
        <v>60</v>
      </c>
      <c r="F84" s="285">
        <f>F85+F86</f>
        <v>3.2</v>
      </c>
      <c r="G84" s="150">
        <f>G85+G86</f>
        <v>0.2</v>
      </c>
      <c r="H84" s="286">
        <v>0</v>
      </c>
      <c r="I84" s="151">
        <v>0</v>
      </c>
      <c r="J84" s="152">
        <f>G84+I84</f>
        <v>0.2</v>
      </c>
      <c r="K84" s="153">
        <v>0.85</v>
      </c>
      <c r="L84" s="154">
        <v>2</v>
      </c>
      <c r="M84" s="68">
        <f>K84+L84</f>
        <v>2.85</v>
      </c>
      <c r="N84" s="70"/>
      <c r="O84" s="71"/>
      <c r="P84" s="71"/>
      <c r="Q84" s="72"/>
      <c r="R84" s="73"/>
      <c r="S84" s="144"/>
      <c r="T84" s="425" t="s">
        <v>86</v>
      </c>
      <c r="U84" s="425" t="s">
        <v>102</v>
      </c>
      <c r="V84" s="425"/>
      <c r="W84" s="74">
        <v>57.215038</v>
      </c>
      <c r="X84" s="75">
        <v>102.469431</v>
      </c>
      <c r="Y84" s="425"/>
      <c r="AD84" s="184"/>
      <c r="AE84" s="185"/>
      <c r="AF84" s="186"/>
      <c r="AG84" s="187">
        <v>1</v>
      </c>
      <c r="AH84" s="184"/>
      <c r="AI84" s="185"/>
      <c r="AJ84" s="188"/>
      <c r="AK84" s="189">
        <f>F84</f>
        <v>3.2</v>
      </c>
    </row>
    <row r="85" spans="1:37" s="4" customFormat="1" ht="14.25" x14ac:dyDescent="0.25">
      <c r="A85" s="182" t="s">
        <v>10</v>
      </c>
      <c r="B85" s="62"/>
      <c r="C85" s="63"/>
      <c r="D85" s="63"/>
      <c r="E85" s="64"/>
      <c r="F85" s="155">
        <v>1.6</v>
      </c>
      <c r="G85" s="271">
        <v>0.2</v>
      </c>
      <c r="H85" s="283"/>
      <c r="I85" s="78"/>
      <c r="J85" s="79"/>
      <c r="K85" s="79"/>
      <c r="L85" s="80"/>
      <c r="M85" s="81"/>
      <c r="N85" s="82">
        <f>J84</f>
        <v>0.2</v>
      </c>
      <c r="O85" s="83">
        <f>N85/F85*100</f>
        <v>12.5</v>
      </c>
      <c r="P85" s="336">
        <f>IF(G84&gt;(F85*1.05),0,(F85*1.05)-G84)</f>
        <v>1.4800000000000002</v>
      </c>
      <c r="Q85" s="336">
        <f>IF(N85&gt;(F85*1.05),0,(F85*1.05)-N85)</f>
        <v>1.4800000000000002</v>
      </c>
      <c r="R85" s="338">
        <f>IF(N85&gt;(1.05*F85),0,(F85*1.05)-N85)</f>
        <v>1.4800000000000002</v>
      </c>
      <c r="S85" s="144">
        <f>R85</f>
        <v>1.4800000000000002</v>
      </c>
      <c r="T85" s="426"/>
      <c r="U85" s="426"/>
      <c r="V85" s="426"/>
      <c r="W85" s="84"/>
      <c r="X85" s="85"/>
      <c r="Y85" s="426"/>
      <c r="AD85" s="184"/>
      <c r="AE85" s="185"/>
      <c r="AF85" s="186"/>
      <c r="AG85" s="187"/>
      <c r="AH85" s="184"/>
      <c r="AI85" s="185"/>
      <c r="AJ85" s="188"/>
      <c r="AK85" s="187"/>
    </row>
    <row r="86" spans="1:37" s="4" customFormat="1" ht="14.25" x14ac:dyDescent="0.25">
      <c r="A86" s="182" t="s">
        <v>7</v>
      </c>
      <c r="B86" s="62"/>
      <c r="C86" s="63"/>
      <c r="D86" s="63"/>
      <c r="E86" s="64"/>
      <c r="F86" s="155">
        <v>1.6</v>
      </c>
      <c r="G86" s="271">
        <v>0</v>
      </c>
      <c r="H86" s="287"/>
      <c r="I86" s="88"/>
      <c r="J86" s="89"/>
      <c r="K86" s="90"/>
      <c r="L86" s="90"/>
      <c r="M86" s="90"/>
      <c r="N86" s="91"/>
      <c r="O86" s="92"/>
      <c r="P86" s="92"/>
      <c r="Q86" s="72"/>
      <c r="R86" s="73"/>
      <c r="S86" s="144"/>
      <c r="T86" s="427"/>
      <c r="U86" s="427"/>
      <c r="V86" s="427"/>
      <c r="W86" s="93"/>
      <c r="X86" s="94"/>
      <c r="Y86" s="427"/>
      <c r="AD86" s="184"/>
      <c r="AE86" s="185"/>
      <c r="AF86" s="186"/>
      <c r="AG86" s="187"/>
      <c r="AH86" s="184"/>
      <c r="AI86" s="185"/>
      <c r="AJ86" s="188"/>
      <c r="AK86" s="187"/>
    </row>
    <row r="87" spans="1:37" s="341" customFormat="1" x14ac:dyDescent="0.2">
      <c r="A87" s="125" t="s">
        <v>59</v>
      </c>
      <c r="B87" s="126" t="s">
        <v>38</v>
      </c>
      <c r="C87" s="126" t="s">
        <v>38</v>
      </c>
      <c r="D87" s="126" t="s">
        <v>38</v>
      </c>
      <c r="E87" s="126" t="s">
        <v>38</v>
      </c>
      <c r="F87" s="127"/>
      <c r="G87" s="127"/>
      <c r="H87" s="279" t="s">
        <v>100</v>
      </c>
      <c r="I87" s="129" t="s">
        <v>38</v>
      </c>
      <c r="J87" s="128"/>
      <c r="K87" s="128"/>
      <c r="L87" s="128"/>
      <c r="M87" s="128"/>
      <c r="N87" s="128"/>
      <c r="O87" s="130"/>
      <c r="P87" s="130"/>
      <c r="Q87" s="131"/>
      <c r="R87" s="131"/>
      <c r="S87" s="131"/>
      <c r="T87" s="134"/>
      <c r="U87" s="133"/>
      <c r="V87" s="134"/>
      <c r="W87" s="135"/>
      <c r="X87" s="136"/>
      <c r="Y87" s="61"/>
      <c r="Z87" s="49"/>
      <c r="AA87" s="49"/>
      <c r="AB87" s="49"/>
      <c r="AC87" s="49"/>
      <c r="AD87" s="38"/>
      <c r="AE87" s="39"/>
      <c r="AF87" s="40"/>
      <c r="AG87" s="41"/>
      <c r="AH87" s="38"/>
      <c r="AI87" s="39"/>
      <c r="AJ87" s="42"/>
      <c r="AK87" s="41"/>
    </row>
    <row r="88" spans="1:37" s="4" customFormat="1" ht="14.25" customHeight="1" x14ac:dyDescent="0.25">
      <c r="A88" s="182" t="s">
        <v>103</v>
      </c>
      <c r="B88" s="137"/>
      <c r="C88" s="138"/>
      <c r="D88" s="138"/>
      <c r="E88" s="139" t="s">
        <v>60</v>
      </c>
      <c r="F88" s="285">
        <f>F89+F90</f>
        <v>2</v>
      </c>
      <c r="G88" s="150">
        <f>G89+G90</f>
        <v>0.3</v>
      </c>
      <c r="H88" s="286">
        <v>0</v>
      </c>
      <c r="I88" s="151">
        <v>0</v>
      </c>
      <c r="J88" s="152">
        <f>G88+I88</f>
        <v>0.3</v>
      </c>
      <c r="K88" s="153">
        <v>0.28000000000000003</v>
      </c>
      <c r="L88" s="154">
        <v>0</v>
      </c>
      <c r="M88" s="68">
        <f>K88+L88</f>
        <v>0.28000000000000003</v>
      </c>
      <c r="N88" s="70"/>
      <c r="O88" s="71"/>
      <c r="P88" s="71"/>
      <c r="Q88" s="72"/>
      <c r="R88" s="73"/>
      <c r="S88" s="144"/>
      <c r="T88" s="425" t="s">
        <v>86</v>
      </c>
      <c r="U88" s="425" t="s">
        <v>104</v>
      </c>
      <c r="V88" s="425"/>
      <c r="W88" s="74">
        <v>57.509321</v>
      </c>
      <c r="X88" s="75">
        <v>103.12740100000001</v>
      </c>
      <c r="Y88" s="425"/>
      <c r="AD88" s="184"/>
      <c r="AE88" s="185"/>
      <c r="AF88" s="186"/>
      <c r="AG88" s="187">
        <v>1</v>
      </c>
      <c r="AH88" s="184"/>
      <c r="AI88" s="185"/>
      <c r="AJ88" s="188"/>
      <c r="AK88" s="189">
        <f>F88</f>
        <v>2</v>
      </c>
    </row>
    <row r="89" spans="1:37" s="4" customFormat="1" ht="14.25" x14ac:dyDescent="0.25">
      <c r="A89" s="182" t="s">
        <v>10</v>
      </c>
      <c r="B89" s="62"/>
      <c r="C89" s="63"/>
      <c r="D89" s="63"/>
      <c r="E89" s="64"/>
      <c r="F89" s="155">
        <v>1</v>
      </c>
      <c r="G89" s="271">
        <v>0.3</v>
      </c>
      <c r="H89" s="283"/>
      <c r="I89" s="78"/>
      <c r="J89" s="79"/>
      <c r="K89" s="79"/>
      <c r="L89" s="80"/>
      <c r="M89" s="81"/>
      <c r="N89" s="82">
        <f>J88</f>
        <v>0.3</v>
      </c>
      <c r="O89" s="83">
        <f>N89/F89*100</f>
        <v>30</v>
      </c>
      <c r="P89" s="336">
        <f>IF(G88&gt;(F89*1.05),0,(F89*1.05)-G88)</f>
        <v>0.75</v>
      </c>
      <c r="Q89" s="336">
        <f>IF(N89&gt;(F89*1.05),0,(F89*1.05)-N89)</f>
        <v>0.75</v>
      </c>
      <c r="R89" s="338">
        <f>IF(N89&gt;(1.05*F89),0,(F89*1.05)-N89)</f>
        <v>0.75</v>
      </c>
      <c r="S89" s="144">
        <f>R89</f>
        <v>0.75</v>
      </c>
      <c r="T89" s="426"/>
      <c r="U89" s="426"/>
      <c r="V89" s="426"/>
      <c r="W89" s="84"/>
      <c r="X89" s="85"/>
      <c r="Y89" s="426"/>
      <c r="AD89" s="184"/>
      <c r="AE89" s="185"/>
      <c r="AF89" s="186"/>
      <c r="AG89" s="187"/>
      <c r="AH89" s="184"/>
      <c r="AI89" s="185"/>
      <c r="AJ89" s="188"/>
      <c r="AK89" s="187"/>
    </row>
    <row r="90" spans="1:37" s="4" customFormat="1" ht="14.25" x14ac:dyDescent="0.25">
      <c r="A90" s="182" t="s">
        <v>7</v>
      </c>
      <c r="B90" s="62"/>
      <c r="C90" s="63"/>
      <c r="D90" s="63"/>
      <c r="E90" s="64"/>
      <c r="F90" s="155">
        <v>1</v>
      </c>
      <c r="G90" s="271">
        <v>0</v>
      </c>
      <c r="H90" s="287"/>
      <c r="I90" s="88"/>
      <c r="J90" s="89"/>
      <c r="K90" s="90"/>
      <c r="L90" s="90"/>
      <c r="M90" s="90"/>
      <c r="N90" s="91"/>
      <c r="O90" s="92"/>
      <c r="P90" s="92"/>
      <c r="Q90" s="72"/>
      <c r="R90" s="73"/>
      <c r="S90" s="144"/>
      <c r="T90" s="427"/>
      <c r="U90" s="427"/>
      <c r="V90" s="427"/>
      <c r="W90" s="93"/>
      <c r="X90" s="94"/>
      <c r="Y90" s="427"/>
      <c r="AD90" s="184"/>
      <c r="AE90" s="185"/>
      <c r="AF90" s="186"/>
      <c r="AG90" s="187"/>
      <c r="AH90" s="184"/>
      <c r="AI90" s="185"/>
      <c r="AJ90" s="188"/>
      <c r="AK90" s="187"/>
    </row>
    <row r="91" spans="1:37" s="341" customFormat="1" x14ac:dyDescent="0.2">
      <c r="A91" s="125"/>
      <c r="B91" s="126" t="s">
        <v>38</v>
      </c>
      <c r="C91" s="126" t="s">
        <v>38</v>
      </c>
      <c r="D91" s="126" t="s">
        <v>38</v>
      </c>
      <c r="E91" s="126" t="s">
        <v>38</v>
      </c>
      <c r="F91" s="127"/>
      <c r="G91" s="127"/>
      <c r="H91" s="279"/>
      <c r="I91" s="129" t="s">
        <v>38</v>
      </c>
      <c r="J91" s="128"/>
      <c r="K91" s="128"/>
      <c r="L91" s="128"/>
      <c r="M91" s="128"/>
      <c r="N91" s="128"/>
      <c r="O91" s="130"/>
      <c r="P91" s="130"/>
      <c r="Q91" s="131"/>
      <c r="R91" s="131"/>
      <c r="S91" s="377"/>
      <c r="T91" s="132"/>
      <c r="U91" s="133"/>
      <c r="V91" s="134"/>
      <c r="W91" s="135"/>
      <c r="X91" s="136"/>
      <c r="Y91" s="61"/>
      <c r="Z91" s="49"/>
      <c r="AA91" s="49"/>
      <c r="AB91" s="49"/>
      <c r="AC91" s="49"/>
      <c r="AD91" s="38"/>
      <c r="AE91" s="39"/>
      <c r="AF91" s="40"/>
      <c r="AG91" s="41"/>
      <c r="AH91" s="38"/>
      <c r="AI91" s="39"/>
      <c r="AJ91" s="42"/>
      <c r="AK91" s="41"/>
    </row>
    <row r="92" spans="1:37" s="4" customFormat="1" ht="14.25" customHeight="1" x14ac:dyDescent="0.25">
      <c r="A92" s="190" t="s">
        <v>105</v>
      </c>
      <c r="B92" s="137"/>
      <c r="C92" s="138"/>
      <c r="D92" s="138"/>
      <c r="E92" s="139" t="s">
        <v>106</v>
      </c>
      <c r="F92" s="285">
        <f>F93</f>
        <v>1.6</v>
      </c>
      <c r="G92" s="150">
        <f>G93</f>
        <v>0</v>
      </c>
      <c r="H92" s="286">
        <v>0</v>
      </c>
      <c r="I92" s="151">
        <v>0</v>
      </c>
      <c r="J92" s="152">
        <f>G92+I92</f>
        <v>0</v>
      </c>
      <c r="K92" s="153">
        <v>1.36</v>
      </c>
      <c r="L92" s="154">
        <v>2.0699999999999998</v>
      </c>
      <c r="M92" s="68">
        <f>K92+L92</f>
        <v>3.4299999999999997</v>
      </c>
      <c r="N92" s="70"/>
      <c r="O92" s="71"/>
      <c r="P92" s="71"/>
      <c r="Q92" s="72"/>
      <c r="R92" s="73"/>
      <c r="S92" s="144"/>
      <c r="T92" s="425" t="s">
        <v>86</v>
      </c>
      <c r="U92" s="425" t="s">
        <v>107</v>
      </c>
      <c r="V92" s="425"/>
      <c r="W92" s="74">
        <v>56.295881000000001</v>
      </c>
      <c r="X92" s="75">
        <v>103.574352</v>
      </c>
      <c r="Y92" s="425"/>
      <c r="AD92" s="184"/>
      <c r="AE92" s="185"/>
      <c r="AF92" s="186"/>
      <c r="AG92" s="187">
        <v>1</v>
      </c>
      <c r="AH92" s="184"/>
      <c r="AI92" s="185"/>
      <c r="AJ92" s="188"/>
      <c r="AK92" s="187">
        <f>F92</f>
        <v>1.6</v>
      </c>
    </row>
    <row r="93" spans="1:37" s="4" customFormat="1" ht="14.25" x14ac:dyDescent="0.25">
      <c r="A93" s="191" t="s">
        <v>10</v>
      </c>
      <c r="B93" s="62"/>
      <c r="C93" s="63"/>
      <c r="D93" s="63"/>
      <c r="E93" s="64"/>
      <c r="F93" s="160">
        <v>1.6</v>
      </c>
      <c r="G93" s="273">
        <v>0</v>
      </c>
      <c r="H93" s="283"/>
      <c r="I93" s="78"/>
      <c r="J93" s="79"/>
      <c r="K93" s="79"/>
      <c r="L93" s="80"/>
      <c r="M93" s="81"/>
      <c r="N93" s="82">
        <f>J92</f>
        <v>0</v>
      </c>
      <c r="O93" s="83">
        <f>N93/F93*100</f>
        <v>0</v>
      </c>
      <c r="P93" s="336">
        <f>IF(G92&gt;(F93*1.05),0,(F93*1.05)-G92)</f>
        <v>1.6800000000000002</v>
      </c>
      <c r="Q93" s="336">
        <f>IF(N93&gt;(F93*1.05),0,(F93*1.05)-N93)</f>
        <v>1.6800000000000002</v>
      </c>
      <c r="R93" s="338">
        <f>IF(N93&gt;(1.05*F93),0,(F93*1.05)-N93)</f>
        <v>1.6800000000000002</v>
      </c>
      <c r="S93" s="144">
        <f>R93</f>
        <v>1.6800000000000002</v>
      </c>
      <c r="T93" s="427"/>
      <c r="U93" s="427"/>
      <c r="V93" s="426"/>
      <c r="W93" s="84"/>
      <c r="X93" s="85"/>
      <c r="Y93" s="426"/>
      <c r="AD93" s="184"/>
      <c r="AE93" s="185"/>
      <c r="AF93" s="186"/>
      <c r="AG93" s="187"/>
      <c r="AH93" s="184"/>
      <c r="AI93" s="185"/>
      <c r="AJ93" s="188"/>
      <c r="AK93" s="187"/>
    </row>
    <row r="94" spans="1:37" s="341" customFormat="1" x14ac:dyDescent="0.2">
      <c r="A94" s="125"/>
      <c r="B94" s="126" t="s">
        <v>38</v>
      </c>
      <c r="C94" s="126" t="s">
        <v>38</v>
      </c>
      <c r="D94" s="126" t="s">
        <v>38</v>
      </c>
      <c r="E94" s="126" t="s">
        <v>38</v>
      </c>
      <c r="F94" s="127"/>
      <c r="G94" s="127"/>
      <c r="H94" s="279" t="s">
        <v>112</v>
      </c>
      <c r="I94" s="129" t="s">
        <v>38</v>
      </c>
      <c r="J94" s="128"/>
      <c r="K94" s="128"/>
      <c r="L94" s="128"/>
      <c r="M94" s="128"/>
      <c r="N94" s="128"/>
      <c r="O94" s="130"/>
      <c r="P94" s="130"/>
      <c r="Q94" s="131"/>
      <c r="R94" s="131"/>
      <c r="S94" s="131"/>
      <c r="T94" s="134"/>
      <c r="U94" s="133"/>
      <c r="V94" s="134"/>
      <c r="W94" s="135"/>
      <c r="X94" s="136"/>
      <c r="Y94" s="61"/>
      <c r="Z94" s="49"/>
      <c r="AA94" s="49"/>
      <c r="AB94" s="49"/>
      <c r="AC94" s="49"/>
      <c r="AD94" s="38"/>
      <c r="AE94" s="39"/>
      <c r="AF94" s="40"/>
      <c r="AG94" s="41"/>
      <c r="AH94" s="38"/>
      <c r="AI94" s="39"/>
      <c r="AJ94" s="42"/>
      <c r="AK94" s="41"/>
    </row>
    <row r="95" spans="1:37" s="341" customFormat="1" ht="14.25" customHeight="1" x14ac:dyDescent="0.25">
      <c r="A95" s="149" t="s">
        <v>113</v>
      </c>
      <c r="B95" s="137"/>
      <c r="C95" s="138"/>
      <c r="D95" s="138"/>
      <c r="E95" s="139" t="s">
        <v>60</v>
      </c>
      <c r="F95" s="285">
        <f>F96+F97</f>
        <v>20</v>
      </c>
      <c r="G95" s="150">
        <f>G96+G97</f>
        <v>1</v>
      </c>
      <c r="H95" s="286">
        <v>0</v>
      </c>
      <c r="I95" s="151">
        <v>0</v>
      </c>
      <c r="J95" s="152">
        <f>G95+I95</f>
        <v>1</v>
      </c>
      <c r="K95" s="153">
        <v>0</v>
      </c>
      <c r="L95" s="154">
        <v>4.5</v>
      </c>
      <c r="M95" s="68">
        <f>K95+L95</f>
        <v>4.5</v>
      </c>
      <c r="N95" s="70"/>
      <c r="O95" s="71"/>
      <c r="P95" s="71"/>
      <c r="Q95" s="72"/>
      <c r="R95" s="73"/>
      <c r="S95" s="144"/>
      <c r="T95" s="425" t="s">
        <v>108</v>
      </c>
      <c r="U95" s="425" t="s">
        <v>111</v>
      </c>
      <c r="V95" s="425"/>
      <c r="W95" s="74">
        <v>58.050626999999999</v>
      </c>
      <c r="X95" s="75">
        <v>102.722838</v>
      </c>
      <c r="Y95" s="425"/>
      <c r="Z95" s="49"/>
      <c r="AA95" s="49"/>
      <c r="AB95" s="49"/>
      <c r="AC95" s="49"/>
      <c r="AD95" s="38"/>
      <c r="AE95" s="39"/>
      <c r="AF95" s="40"/>
      <c r="AG95" s="41">
        <v>1</v>
      </c>
      <c r="AH95" s="38"/>
      <c r="AI95" s="39"/>
      <c r="AJ95" s="42"/>
      <c r="AK95" s="41">
        <f>F95</f>
        <v>20</v>
      </c>
    </row>
    <row r="96" spans="1:37" s="341" customFormat="1" x14ac:dyDescent="0.25">
      <c r="A96" s="149" t="s">
        <v>10</v>
      </c>
      <c r="B96" s="62"/>
      <c r="C96" s="63"/>
      <c r="D96" s="63"/>
      <c r="E96" s="64"/>
      <c r="F96" s="156">
        <v>10</v>
      </c>
      <c r="G96" s="270">
        <v>0</v>
      </c>
      <c r="H96" s="283"/>
      <c r="I96" s="78"/>
      <c r="J96" s="79"/>
      <c r="K96" s="79"/>
      <c r="L96" s="80"/>
      <c r="M96" s="81"/>
      <c r="N96" s="82">
        <f>J95</f>
        <v>1</v>
      </c>
      <c r="O96" s="83">
        <f>N96/F96*100</f>
        <v>10</v>
      </c>
      <c r="P96" s="336">
        <f>IF(G95&gt;(F96*1.05),0,(F96*1.05)-G95)</f>
        <v>9.5</v>
      </c>
      <c r="Q96" s="336">
        <f>IF(N96&gt;(F96*1.05),0,(F96*1.05)-N96)</f>
        <v>9.5</v>
      </c>
      <c r="R96" s="338">
        <f>IF(N96&gt;(1.05*F96),0,(F96*1.05)-N96)</f>
        <v>9.5</v>
      </c>
      <c r="S96" s="144">
        <f>R96</f>
        <v>9.5</v>
      </c>
      <c r="T96" s="426"/>
      <c r="U96" s="426"/>
      <c r="V96" s="426"/>
      <c r="W96" s="84"/>
      <c r="X96" s="85"/>
      <c r="Y96" s="426"/>
      <c r="Z96" s="49"/>
      <c r="AA96" s="49"/>
      <c r="AB96" s="49"/>
      <c r="AC96" s="49"/>
      <c r="AD96" s="38"/>
      <c r="AE96" s="39"/>
      <c r="AF96" s="40"/>
      <c r="AG96" s="41"/>
      <c r="AH96" s="38"/>
      <c r="AI96" s="39"/>
      <c r="AJ96" s="42"/>
      <c r="AK96" s="41"/>
    </row>
    <row r="97" spans="1:37" s="341" customFormat="1" x14ac:dyDescent="0.25">
      <c r="A97" s="149" t="s">
        <v>7</v>
      </c>
      <c r="B97" s="62"/>
      <c r="C97" s="63"/>
      <c r="D97" s="63"/>
      <c r="E97" s="64"/>
      <c r="F97" s="156">
        <v>10</v>
      </c>
      <c r="G97" s="270">
        <v>1</v>
      </c>
      <c r="H97" s="287"/>
      <c r="I97" s="88"/>
      <c r="J97" s="89"/>
      <c r="K97" s="90"/>
      <c r="L97" s="90"/>
      <c r="M97" s="90"/>
      <c r="N97" s="91"/>
      <c r="O97" s="92"/>
      <c r="P97" s="92"/>
      <c r="Q97" s="72"/>
      <c r="R97" s="73"/>
      <c r="S97" s="144"/>
      <c r="T97" s="427"/>
      <c r="U97" s="427"/>
      <c r="V97" s="427"/>
      <c r="W97" s="93"/>
      <c r="X97" s="94"/>
      <c r="Y97" s="427"/>
      <c r="Z97" s="49"/>
      <c r="AA97" s="49"/>
      <c r="AB97" s="49"/>
      <c r="AC97" s="49"/>
      <c r="AD97" s="38"/>
      <c r="AE97" s="39"/>
      <c r="AF97" s="40"/>
      <c r="AG97" s="41"/>
      <c r="AH97" s="38"/>
      <c r="AI97" s="39"/>
      <c r="AJ97" s="42"/>
      <c r="AK97" s="41"/>
    </row>
    <row r="98" spans="1:37" s="341" customFormat="1" x14ac:dyDescent="0.2">
      <c r="A98" s="50" t="s">
        <v>39</v>
      </c>
      <c r="B98" s="51" t="s">
        <v>38</v>
      </c>
      <c r="C98" s="51" t="s">
        <v>38</v>
      </c>
      <c r="D98" s="51" t="s">
        <v>38</v>
      </c>
      <c r="E98" s="51" t="s">
        <v>38</v>
      </c>
      <c r="F98" s="51" t="s">
        <v>38</v>
      </c>
      <c r="G98" s="268"/>
      <c r="H98" s="284"/>
      <c r="I98" s="53" t="s">
        <v>38</v>
      </c>
      <c r="J98" s="52"/>
      <c r="K98" s="52"/>
      <c r="L98" s="52"/>
      <c r="M98" s="52"/>
      <c r="N98" s="52"/>
      <c r="O98" s="54"/>
      <c r="P98" s="54"/>
      <c r="Q98" s="55"/>
      <c r="R98" s="55"/>
      <c r="S98" s="379"/>
      <c r="T98" s="56"/>
      <c r="U98" s="173"/>
      <c r="V98" s="56"/>
      <c r="W98" s="174"/>
      <c r="X98" s="60"/>
      <c r="Y98" s="61"/>
      <c r="Z98" s="49"/>
      <c r="AA98" s="49"/>
      <c r="AB98" s="49"/>
      <c r="AC98" s="49"/>
      <c r="AD98" s="38"/>
      <c r="AE98" s="39"/>
      <c r="AF98" s="40"/>
      <c r="AG98" s="41"/>
      <c r="AH98" s="38"/>
      <c r="AI98" s="39"/>
      <c r="AJ98" s="42"/>
      <c r="AK98" s="41"/>
    </row>
    <row r="99" spans="1:37" s="341" customFormat="1" ht="12.75" customHeight="1" x14ac:dyDescent="0.25">
      <c r="A99" s="168" t="s">
        <v>114</v>
      </c>
      <c r="B99" s="62"/>
      <c r="C99" s="96" t="s">
        <v>84</v>
      </c>
      <c r="D99" s="63"/>
      <c r="E99" s="64"/>
      <c r="F99" s="280">
        <f>F100+F101</f>
        <v>250</v>
      </c>
      <c r="G99" s="65">
        <f>G100+G101</f>
        <v>103.6</v>
      </c>
      <c r="H99" s="281">
        <f>26.96675+0.031</f>
        <v>26.99775</v>
      </c>
      <c r="I99" s="281">
        <f>26.96675+0.031</f>
        <v>26.99775</v>
      </c>
      <c r="J99" s="67">
        <f>G99+I99</f>
        <v>130.59774999999999</v>
      </c>
      <c r="K99" s="68">
        <v>0.878</v>
      </c>
      <c r="L99" s="69">
        <v>43.082000000000001</v>
      </c>
      <c r="M99" s="68">
        <f>K99+L99</f>
        <v>43.96</v>
      </c>
      <c r="N99" s="70"/>
      <c r="O99" s="71"/>
      <c r="P99" s="71"/>
      <c r="Q99" s="72"/>
      <c r="R99" s="73"/>
      <c r="S99" s="144"/>
      <c r="T99" s="425" t="s">
        <v>11</v>
      </c>
      <c r="U99" s="425" t="s">
        <v>115</v>
      </c>
      <c r="V99" s="425" t="s">
        <v>116</v>
      </c>
      <c r="W99" s="74">
        <v>56.801630299999999</v>
      </c>
      <c r="X99" s="112">
        <v>105.7737923</v>
      </c>
      <c r="Y99" s="425"/>
      <c r="Z99" s="49"/>
      <c r="AA99" s="49"/>
      <c r="AB99" s="49"/>
      <c r="AC99" s="49"/>
      <c r="AD99" s="38"/>
      <c r="AE99" s="39">
        <v>1</v>
      </c>
      <c r="AF99" s="40"/>
      <c r="AG99" s="41"/>
      <c r="AH99" s="38"/>
      <c r="AI99" s="39">
        <f>F99</f>
        <v>250</v>
      </c>
      <c r="AJ99" s="42"/>
      <c r="AK99" s="41"/>
    </row>
    <row r="100" spans="1:37" x14ac:dyDescent="0.25">
      <c r="A100" s="149" t="s">
        <v>180</v>
      </c>
      <c r="B100" s="62"/>
      <c r="C100" s="63"/>
      <c r="D100" s="63"/>
      <c r="E100" s="64"/>
      <c r="F100" s="196">
        <v>125</v>
      </c>
      <c r="G100" s="270">
        <v>52.4</v>
      </c>
      <c r="H100" s="283"/>
      <c r="I100" s="78"/>
      <c r="J100" s="79"/>
      <c r="K100" s="79"/>
      <c r="L100" s="80"/>
      <c r="M100" s="81"/>
      <c r="N100" s="82">
        <f>J99</f>
        <v>130.59774999999999</v>
      </c>
      <c r="O100" s="83">
        <f>N100/F100*100</f>
        <v>104.47819999999999</v>
      </c>
      <c r="P100" s="336">
        <f>IF(G99&gt;(F100*1.05),0,(F100*1.05)-G99)</f>
        <v>27.650000000000006</v>
      </c>
      <c r="Q100" s="336">
        <f>IF(N100&gt;(F100*1.05),0,(F100*1.05)-N100)</f>
        <v>0.65225000000000932</v>
      </c>
      <c r="R100" s="338">
        <f>IF(N100&gt;(1.05*F100),0,(F100*1.05)-N100)</f>
        <v>0.65225000000000932</v>
      </c>
      <c r="S100" s="144">
        <f>R100</f>
        <v>0.65225000000000932</v>
      </c>
      <c r="T100" s="426"/>
      <c r="U100" s="426"/>
      <c r="V100" s="426"/>
      <c r="W100" s="84"/>
      <c r="X100" s="117"/>
      <c r="Y100" s="426"/>
      <c r="AD100" s="38"/>
      <c r="AE100" s="39"/>
      <c r="AF100" s="40"/>
      <c r="AG100" s="41"/>
      <c r="AH100" s="38"/>
      <c r="AI100" s="39"/>
      <c r="AJ100" s="42"/>
      <c r="AK100" s="41"/>
    </row>
    <row r="101" spans="1:37" x14ac:dyDescent="0.25">
      <c r="A101" s="149" t="s">
        <v>181</v>
      </c>
      <c r="B101" s="62"/>
      <c r="C101" s="63"/>
      <c r="D101" s="63"/>
      <c r="E101" s="64"/>
      <c r="F101" s="196">
        <v>125</v>
      </c>
      <c r="G101" s="270">
        <v>51.2</v>
      </c>
      <c r="H101" s="287"/>
      <c r="I101" s="88"/>
      <c r="J101" s="89"/>
      <c r="K101" s="90"/>
      <c r="L101" s="90"/>
      <c r="M101" s="90"/>
      <c r="N101" s="91"/>
      <c r="O101" s="92"/>
      <c r="P101" s="92"/>
      <c r="Q101" s="72"/>
      <c r="R101" s="73"/>
      <c r="S101" s="144"/>
      <c r="T101" s="426"/>
      <c r="U101" s="426"/>
      <c r="V101" s="426"/>
      <c r="W101" s="84"/>
      <c r="X101" s="117"/>
      <c r="Y101" s="426"/>
      <c r="AD101" s="38"/>
      <c r="AE101" s="39"/>
      <c r="AF101" s="40"/>
      <c r="AG101" s="41"/>
      <c r="AH101" s="38"/>
      <c r="AI101" s="39"/>
      <c r="AJ101" s="42"/>
      <c r="AK101" s="41"/>
    </row>
    <row r="102" spans="1:37" x14ac:dyDescent="0.25">
      <c r="A102" s="149" t="s">
        <v>50</v>
      </c>
      <c r="B102" s="62"/>
      <c r="C102" s="63"/>
      <c r="D102" s="63"/>
      <c r="E102" s="64"/>
      <c r="F102" s="196">
        <v>25</v>
      </c>
      <c r="G102" s="270">
        <v>14.3</v>
      </c>
      <c r="H102" s="328"/>
      <c r="I102" s="197"/>
      <c r="J102" s="1"/>
      <c r="K102" s="11"/>
      <c r="L102" s="198"/>
      <c r="M102" s="198"/>
      <c r="N102" s="199"/>
      <c r="O102" s="199"/>
      <c r="P102" s="199"/>
      <c r="Q102" s="199"/>
      <c r="R102" s="200"/>
      <c r="S102" s="199"/>
      <c r="T102" s="426"/>
      <c r="U102" s="426"/>
      <c r="V102" s="426"/>
      <c r="W102" s="84"/>
      <c r="X102" s="117"/>
      <c r="Y102" s="426"/>
      <c r="AD102" s="38"/>
      <c r="AE102" s="39"/>
      <c r="AF102" s="40"/>
      <c r="AG102" s="41"/>
      <c r="AH102" s="38"/>
      <c r="AI102" s="39">
        <f>F102+F103+F104</f>
        <v>90</v>
      </c>
      <c r="AJ102" s="42"/>
      <c r="AK102" s="41"/>
    </row>
    <row r="103" spans="1:37" x14ac:dyDescent="0.25">
      <c r="A103" s="149" t="s">
        <v>58</v>
      </c>
      <c r="B103" s="62"/>
      <c r="C103" s="63"/>
      <c r="D103" s="63"/>
      <c r="E103" s="64"/>
      <c r="F103" s="196">
        <v>25</v>
      </c>
      <c r="G103" s="270">
        <v>18.899999999999999</v>
      </c>
      <c r="H103" s="328"/>
      <c r="I103" s="197"/>
      <c r="J103" s="1"/>
      <c r="K103" s="11"/>
      <c r="L103" s="198"/>
      <c r="M103" s="198"/>
      <c r="N103" s="199"/>
      <c r="O103" s="199"/>
      <c r="P103" s="199"/>
      <c r="Q103" s="199"/>
      <c r="R103" s="200"/>
      <c r="S103" s="199"/>
      <c r="T103" s="426"/>
      <c r="U103" s="426"/>
      <c r="V103" s="426"/>
      <c r="W103" s="84"/>
      <c r="X103" s="117"/>
      <c r="Y103" s="426"/>
      <c r="AD103" s="38"/>
      <c r="AE103" s="39"/>
      <c r="AF103" s="40"/>
      <c r="AG103" s="41"/>
      <c r="AH103" s="38"/>
      <c r="AI103" s="39"/>
      <c r="AJ103" s="42"/>
      <c r="AK103" s="41"/>
    </row>
    <row r="104" spans="1:37" x14ac:dyDescent="0.25">
      <c r="A104" s="149" t="s">
        <v>117</v>
      </c>
      <c r="B104" s="62"/>
      <c r="C104" s="63"/>
      <c r="D104" s="63"/>
      <c r="E104" s="64"/>
      <c r="F104" s="196">
        <v>40</v>
      </c>
      <c r="G104" s="270">
        <v>0</v>
      </c>
      <c r="H104" s="328"/>
      <c r="I104" s="197"/>
      <c r="J104" s="1"/>
      <c r="K104" s="11"/>
      <c r="L104" s="198"/>
      <c r="M104" s="198"/>
      <c r="N104" s="199"/>
      <c r="O104" s="199"/>
      <c r="P104" s="199"/>
      <c r="Q104" s="199"/>
      <c r="R104" s="200"/>
      <c r="S104" s="199"/>
      <c r="T104" s="427"/>
      <c r="U104" s="427"/>
      <c r="V104" s="427"/>
      <c r="W104" s="93"/>
      <c r="X104" s="122"/>
      <c r="Y104" s="427"/>
      <c r="AD104" s="38"/>
      <c r="AE104" s="39"/>
      <c r="AF104" s="40"/>
      <c r="AG104" s="41"/>
      <c r="AH104" s="38"/>
      <c r="AI104" s="39"/>
      <c r="AJ104" s="42"/>
      <c r="AK104" s="41"/>
    </row>
    <row r="105" spans="1:37" s="341" customFormat="1" x14ac:dyDescent="0.2">
      <c r="A105" s="101" t="s">
        <v>45</v>
      </c>
      <c r="B105" s="102" t="s">
        <v>38</v>
      </c>
      <c r="C105" s="102" t="s">
        <v>38</v>
      </c>
      <c r="D105" s="102" t="s">
        <v>38</v>
      </c>
      <c r="E105" s="102" t="s">
        <v>38</v>
      </c>
      <c r="F105" s="308"/>
      <c r="G105" s="308"/>
      <c r="H105" s="299" t="s">
        <v>118</v>
      </c>
      <c r="I105" s="298" t="s">
        <v>38</v>
      </c>
      <c r="J105" s="309"/>
      <c r="K105" s="309"/>
      <c r="L105" s="309"/>
      <c r="M105" s="309"/>
      <c r="N105" s="309"/>
      <c r="O105" s="103"/>
      <c r="P105" s="103"/>
      <c r="Q105" s="104"/>
      <c r="R105" s="104"/>
      <c r="S105" s="380"/>
      <c r="T105" s="176"/>
      <c r="U105" s="177"/>
      <c r="V105" s="176"/>
      <c r="W105" s="178"/>
      <c r="X105" s="108"/>
      <c r="Y105" s="61"/>
      <c r="Z105" s="49"/>
      <c r="AA105" s="49"/>
      <c r="AB105" s="49"/>
      <c r="AC105" s="49"/>
      <c r="AD105" s="38"/>
      <c r="AE105" s="39"/>
      <c r="AF105" s="40"/>
      <c r="AG105" s="41"/>
      <c r="AH105" s="38"/>
      <c r="AI105" s="39"/>
      <c r="AJ105" s="42"/>
      <c r="AK105" s="41"/>
    </row>
    <row r="106" spans="1:37" s="341" customFormat="1" ht="12.75" customHeight="1" x14ac:dyDescent="0.25">
      <c r="A106" s="149" t="s">
        <v>172</v>
      </c>
      <c r="B106" s="110"/>
      <c r="C106" s="96"/>
      <c r="D106" s="96" t="s">
        <v>49</v>
      </c>
      <c r="E106" s="111"/>
      <c r="F106" s="280">
        <f>F107+F108</f>
        <v>32</v>
      </c>
      <c r="G106" s="65">
        <f>G107+G108</f>
        <v>14.7</v>
      </c>
      <c r="H106" s="281">
        <f>0.23482</f>
        <v>0.23482</v>
      </c>
      <c r="I106" s="281">
        <f>0.23482</f>
        <v>0.23482</v>
      </c>
      <c r="J106" s="67">
        <f>G106+I106</f>
        <v>14.934819999999998</v>
      </c>
      <c r="K106" s="68">
        <v>1.42</v>
      </c>
      <c r="L106" s="69">
        <v>17.207999999999998</v>
      </c>
      <c r="M106" s="68">
        <f>K106+L106</f>
        <v>18.628</v>
      </c>
      <c r="N106" s="70"/>
      <c r="O106" s="71"/>
      <c r="P106" s="71"/>
      <c r="Q106" s="72"/>
      <c r="R106" s="73"/>
      <c r="S106" s="144"/>
      <c r="T106" s="425" t="s">
        <v>11</v>
      </c>
      <c r="U106" s="425" t="s">
        <v>115</v>
      </c>
      <c r="V106" s="425" t="s">
        <v>173</v>
      </c>
      <c r="W106" s="74">
        <v>56.789420999999997</v>
      </c>
      <c r="X106" s="75">
        <v>105.751305</v>
      </c>
      <c r="Y106" s="431" t="s">
        <v>250</v>
      </c>
      <c r="Z106" s="49"/>
      <c r="AA106" s="49"/>
      <c r="AB106" s="49"/>
      <c r="AC106" s="49"/>
      <c r="AD106" s="38"/>
      <c r="AE106" s="39"/>
      <c r="AF106" s="40">
        <v>1</v>
      </c>
      <c r="AG106" s="41"/>
      <c r="AH106" s="38"/>
      <c r="AI106" s="39"/>
      <c r="AJ106" s="42">
        <f>F106</f>
        <v>32</v>
      </c>
      <c r="AK106" s="41"/>
    </row>
    <row r="107" spans="1:37" x14ac:dyDescent="0.25">
      <c r="A107" s="179" t="s">
        <v>10</v>
      </c>
      <c r="B107" s="62"/>
      <c r="C107" s="63"/>
      <c r="D107" s="63"/>
      <c r="E107" s="64"/>
      <c r="F107" s="175">
        <v>16</v>
      </c>
      <c r="G107" s="272">
        <v>5.2</v>
      </c>
      <c r="H107" s="283"/>
      <c r="I107" s="78"/>
      <c r="J107" s="79"/>
      <c r="K107" s="79"/>
      <c r="L107" s="80"/>
      <c r="M107" s="81"/>
      <c r="N107" s="82">
        <f>J106</f>
        <v>14.934819999999998</v>
      </c>
      <c r="O107" s="83">
        <f>N107/F107*100</f>
        <v>93.342624999999984</v>
      </c>
      <c r="P107" s="336">
        <f>IF(G106&gt;(F107*1.05),0,(F107*1.05)-G106)</f>
        <v>2.1000000000000014</v>
      </c>
      <c r="Q107" s="336">
        <f>IF(N107&gt;(F107*1.05),0,(F107*1.05)-N107)</f>
        <v>1.8651800000000023</v>
      </c>
      <c r="R107" s="338">
        <f>IF(N107&gt;(1.05*F107),0,(F107*1.05)-N107)</f>
        <v>1.8651800000000023</v>
      </c>
      <c r="S107" s="381">
        <f>S100</f>
        <v>0.65225000000000932</v>
      </c>
      <c r="T107" s="426"/>
      <c r="U107" s="426"/>
      <c r="V107" s="426"/>
      <c r="W107" s="84"/>
      <c r="X107" s="85"/>
      <c r="Y107" s="432"/>
      <c r="AD107" s="38"/>
      <c r="AE107" s="39"/>
      <c r="AF107" s="40"/>
      <c r="AG107" s="41"/>
      <c r="AH107" s="38"/>
      <c r="AI107" s="39"/>
      <c r="AJ107" s="42"/>
      <c r="AK107" s="41"/>
    </row>
    <row r="108" spans="1:37" x14ac:dyDescent="0.25">
      <c r="A108" s="179" t="s">
        <v>9</v>
      </c>
      <c r="B108" s="62"/>
      <c r="C108" s="63"/>
      <c r="D108" s="63"/>
      <c r="E108" s="64"/>
      <c r="F108" s="175">
        <v>16</v>
      </c>
      <c r="G108" s="272">
        <v>9.5</v>
      </c>
      <c r="H108" s="287"/>
      <c r="I108" s="88"/>
      <c r="J108" s="89"/>
      <c r="K108" s="90"/>
      <c r="L108" s="90"/>
      <c r="M108" s="90"/>
      <c r="N108" s="91"/>
      <c r="O108" s="92"/>
      <c r="P108" s="92"/>
      <c r="Q108" s="72"/>
      <c r="R108" s="73"/>
      <c r="S108" s="144"/>
      <c r="T108" s="427"/>
      <c r="U108" s="427"/>
      <c r="V108" s="427"/>
      <c r="W108" s="93"/>
      <c r="X108" s="94"/>
      <c r="Y108" s="433"/>
      <c r="Z108" s="76"/>
      <c r="AA108" s="76"/>
      <c r="AB108" s="76"/>
      <c r="AC108" s="76"/>
      <c r="AD108" s="38"/>
      <c r="AE108" s="77"/>
      <c r="AF108" s="40"/>
      <c r="AG108" s="41"/>
      <c r="AH108" s="38"/>
      <c r="AI108" s="77"/>
      <c r="AJ108" s="42"/>
      <c r="AK108" s="41"/>
    </row>
    <row r="109" spans="1:37" s="341" customFormat="1" x14ac:dyDescent="0.2">
      <c r="A109" s="101" t="s">
        <v>45</v>
      </c>
      <c r="B109" s="102" t="s">
        <v>38</v>
      </c>
      <c r="C109" s="102" t="s">
        <v>38</v>
      </c>
      <c r="D109" s="102" t="s">
        <v>38</v>
      </c>
      <c r="E109" s="102" t="s">
        <v>38</v>
      </c>
      <c r="F109" s="308"/>
      <c r="G109" s="308"/>
      <c r="H109" s="299" t="s">
        <v>118</v>
      </c>
      <c r="I109" s="298" t="s">
        <v>38</v>
      </c>
      <c r="J109" s="309"/>
      <c r="K109" s="309"/>
      <c r="L109" s="309"/>
      <c r="M109" s="309"/>
      <c r="N109" s="309"/>
      <c r="O109" s="103"/>
      <c r="P109" s="103"/>
      <c r="Q109" s="104"/>
      <c r="R109" s="104"/>
      <c r="S109" s="104"/>
      <c r="T109" s="105"/>
      <c r="U109" s="106"/>
      <c r="V109" s="105"/>
      <c r="W109" s="107"/>
      <c r="X109" s="108"/>
      <c r="Y109" s="61"/>
      <c r="Z109" s="49"/>
      <c r="AA109" s="49"/>
      <c r="AB109" s="49"/>
      <c r="AC109" s="49"/>
      <c r="AD109" s="38"/>
      <c r="AE109" s="39"/>
      <c r="AF109" s="40"/>
      <c r="AG109" s="41"/>
      <c r="AH109" s="38"/>
      <c r="AI109" s="39"/>
      <c r="AJ109" s="42"/>
      <c r="AK109" s="41"/>
    </row>
    <row r="110" spans="1:37" ht="17.25" customHeight="1" x14ac:dyDescent="0.25">
      <c r="A110" s="149" t="s">
        <v>119</v>
      </c>
      <c r="B110" s="110"/>
      <c r="C110" s="96"/>
      <c r="D110" s="96" t="s">
        <v>49</v>
      </c>
      <c r="E110" s="111"/>
      <c r="F110" s="280">
        <f>F111</f>
        <v>2.5</v>
      </c>
      <c r="G110" s="65">
        <f>G111</f>
        <v>0.8</v>
      </c>
      <c r="H110" s="281">
        <f>0.35+0.63</f>
        <v>0.98</v>
      </c>
      <c r="I110" s="281">
        <f>0.35+0.63</f>
        <v>0.98</v>
      </c>
      <c r="J110" s="67">
        <f>G110+I110</f>
        <v>1.78</v>
      </c>
      <c r="K110" s="68">
        <v>1.2609999999999999</v>
      </c>
      <c r="L110" s="69">
        <v>0</v>
      </c>
      <c r="M110" s="68">
        <f>K110+L110</f>
        <v>1.2609999999999999</v>
      </c>
      <c r="N110" s="70"/>
      <c r="O110" s="71"/>
      <c r="P110" s="71"/>
      <c r="Q110" s="72"/>
      <c r="R110" s="73"/>
      <c r="S110" s="144"/>
      <c r="T110" s="421" t="s">
        <v>11</v>
      </c>
      <c r="U110" s="421" t="s">
        <v>115</v>
      </c>
      <c r="V110" s="421" t="s">
        <v>120</v>
      </c>
      <c r="W110" s="140">
        <v>56.819369999999999</v>
      </c>
      <c r="X110" s="141">
        <v>105.82845</v>
      </c>
      <c r="Y110" s="431" t="s">
        <v>250</v>
      </c>
      <c r="AD110" s="38"/>
      <c r="AE110" s="39"/>
      <c r="AF110" s="40">
        <v>1</v>
      </c>
      <c r="AG110" s="41"/>
      <c r="AH110" s="38"/>
      <c r="AI110" s="39"/>
      <c r="AJ110" s="42">
        <f>F110</f>
        <v>2.5</v>
      </c>
      <c r="AK110" s="41"/>
    </row>
    <row r="111" spans="1:37" ht="17.25" customHeight="1" x14ac:dyDescent="0.25">
      <c r="A111" s="149" t="s">
        <v>10</v>
      </c>
      <c r="B111" s="62"/>
      <c r="C111" s="63"/>
      <c r="D111" s="63"/>
      <c r="E111" s="64"/>
      <c r="F111" s="197">
        <v>2.5</v>
      </c>
      <c r="G111" s="270">
        <v>0.8</v>
      </c>
      <c r="H111" s="300"/>
      <c r="I111" s="201"/>
      <c r="J111" s="91"/>
      <c r="K111" s="91"/>
      <c r="L111" s="194"/>
      <c r="M111" s="195"/>
      <c r="N111" s="82">
        <f>J110</f>
        <v>1.78</v>
      </c>
      <c r="O111" s="83">
        <f>N111/F111*100</f>
        <v>71.2</v>
      </c>
      <c r="P111" s="336">
        <f>IF(G110&gt;(F111*1.05),0,(F111*1.05)-G110)</f>
        <v>1.825</v>
      </c>
      <c r="Q111" s="336">
        <f>IF(N111&gt;(F111*1.05),0,(F111*1.05)-N111)</f>
        <v>0.84499999999999997</v>
      </c>
      <c r="R111" s="338">
        <f>IF(N111&gt;(1.05*F111),0,(F111*1.05)-N111)</f>
        <v>0.84499999999999997</v>
      </c>
      <c r="S111" s="381">
        <f>S100</f>
        <v>0.65225000000000932</v>
      </c>
      <c r="T111" s="422"/>
      <c r="U111" s="422"/>
      <c r="V111" s="422"/>
      <c r="W111" s="142"/>
      <c r="X111" s="143"/>
      <c r="Y111" s="432"/>
      <c r="AD111" s="38"/>
      <c r="AE111" s="39"/>
      <c r="AF111" s="40"/>
      <c r="AG111" s="41"/>
      <c r="AH111" s="38"/>
      <c r="AI111" s="39"/>
      <c r="AJ111" s="42"/>
      <c r="AK111" s="41"/>
    </row>
    <row r="112" spans="1:37" s="341" customFormat="1" x14ac:dyDescent="0.2">
      <c r="A112" s="101" t="s">
        <v>45</v>
      </c>
      <c r="B112" s="102" t="s">
        <v>38</v>
      </c>
      <c r="C112" s="102" t="s">
        <v>38</v>
      </c>
      <c r="D112" s="102" t="s">
        <v>38</v>
      </c>
      <c r="E112" s="102" t="s">
        <v>38</v>
      </c>
      <c r="F112" s="308"/>
      <c r="G112" s="308"/>
      <c r="H112" s="301" t="s">
        <v>118</v>
      </c>
      <c r="I112" s="298" t="s">
        <v>38</v>
      </c>
      <c r="J112" s="310"/>
      <c r="K112" s="310"/>
      <c r="L112" s="310"/>
      <c r="M112" s="310"/>
      <c r="N112" s="309"/>
      <c r="O112" s="103"/>
      <c r="P112" s="103"/>
      <c r="Q112" s="104"/>
      <c r="R112" s="104"/>
      <c r="S112" s="104"/>
      <c r="T112" s="105"/>
      <c r="U112" s="106"/>
      <c r="V112" s="105"/>
      <c r="W112" s="107"/>
      <c r="X112" s="108"/>
      <c r="Y112" s="61"/>
      <c r="Z112" s="49"/>
      <c r="AA112" s="49"/>
      <c r="AB112" s="49"/>
      <c r="AC112" s="49"/>
      <c r="AD112" s="38"/>
      <c r="AE112" s="39"/>
      <c r="AF112" s="40"/>
      <c r="AG112" s="41"/>
      <c r="AH112" s="38"/>
      <c r="AI112" s="39"/>
      <c r="AJ112" s="42"/>
      <c r="AK112" s="41"/>
    </row>
    <row r="113" spans="1:37" ht="12.75" customHeight="1" x14ac:dyDescent="0.25">
      <c r="A113" s="149" t="s">
        <v>121</v>
      </c>
      <c r="B113" s="110"/>
      <c r="C113" s="96"/>
      <c r="D113" s="96" t="s">
        <v>49</v>
      </c>
      <c r="E113" s="111"/>
      <c r="F113" s="280">
        <f>F114+F115</f>
        <v>12.6</v>
      </c>
      <c r="G113" s="65">
        <f>G114+G115</f>
        <v>1</v>
      </c>
      <c r="H113" s="281">
        <f>0.143+0.03+0.2</f>
        <v>0.373</v>
      </c>
      <c r="I113" s="281">
        <f>0.143+0.03+0.2</f>
        <v>0.373</v>
      </c>
      <c r="J113" s="67">
        <f>G113+I113</f>
        <v>1.373</v>
      </c>
      <c r="K113" s="68">
        <v>1.6080000000000001</v>
      </c>
      <c r="L113" s="69">
        <v>0</v>
      </c>
      <c r="M113" s="68">
        <f>K113+L113</f>
        <v>1.6080000000000001</v>
      </c>
      <c r="N113" s="70"/>
      <c r="O113" s="71"/>
      <c r="P113" s="71"/>
      <c r="Q113" s="72"/>
      <c r="R113" s="73"/>
      <c r="S113" s="144"/>
      <c r="T113" s="425" t="s">
        <v>122</v>
      </c>
      <c r="U113" s="425" t="s">
        <v>123</v>
      </c>
      <c r="V113" s="425"/>
      <c r="W113" s="74">
        <v>57.006532999999997</v>
      </c>
      <c r="X113" s="75">
        <v>106.18406299999999</v>
      </c>
      <c r="Y113" s="431" t="s">
        <v>250</v>
      </c>
      <c r="AD113" s="38"/>
      <c r="AE113" s="39"/>
      <c r="AF113" s="40">
        <v>1</v>
      </c>
      <c r="AG113" s="41"/>
      <c r="AH113" s="38"/>
      <c r="AI113" s="39"/>
      <c r="AJ113" s="42">
        <f>F113</f>
        <v>12.6</v>
      </c>
      <c r="AK113" s="41"/>
    </row>
    <row r="114" spans="1:37" s="341" customFormat="1" x14ac:dyDescent="0.25">
      <c r="A114" s="149" t="s">
        <v>10</v>
      </c>
      <c r="B114" s="62"/>
      <c r="C114" s="63"/>
      <c r="D114" s="63"/>
      <c r="E114" s="64"/>
      <c r="F114" s="197">
        <v>6.3</v>
      </c>
      <c r="G114" s="270">
        <v>0.8</v>
      </c>
      <c r="H114" s="283"/>
      <c r="I114" s="78"/>
      <c r="J114" s="79"/>
      <c r="K114" s="79"/>
      <c r="L114" s="80"/>
      <c r="M114" s="81"/>
      <c r="N114" s="82">
        <f>J113</f>
        <v>1.373</v>
      </c>
      <c r="O114" s="83">
        <f>N114/F114*100</f>
        <v>21.793650793650794</v>
      </c>
      <c r="P114" s="336">
        <f>IF(G113&gt;(F114*1.05),0,(F114*1.05)-G113)</f>
        <v>5.6150000000000002</v>
      </c>
      <c r="Q114" s="336">
        <f>IF(N114&gt;(F114*1.05),0,(F114*1.05)-N114)</f>
        <v>5.242</v>
      </c>
      <c r="R114" s="338">
        <f>IF(N114&gt;(1.05*F114),0,(F114*1.05)-N114)</f>
        <v>5.242</v>
      </c>
      <c r="S114" s="381">
        <f>S100</f>
        <v>0.65225000000000932</v>
      </c>
      <c r="T114" s="426"/>
      <c r="U114" s="426"/>
      <c r="V114" s="426"/>
      <c r="W114" s="84"/>
      <c r="X114" s="85"/>
      <c r="Y114" s="432"/>
      <c r="Z114" s="49"/>
      <c r="AA114" s="49"/>
      <c r="AB114" s="49"/>
      <c r="AC114" s="49"/>
      <c r="AD114" s="38"/>
      <c r="AE114" s="39"/>
      <c r="AF114" s="40"/>
      <c r="AG114" s="41"/>
      <c r="AH114" s="38"/>
      <c r="AI114" s="39"/>
      <c r="AJ114" s="42"/>
      <c r="AK114" s="41"/>
    </row>
    <row r="115" spans="1:37" s="76" customFormat="1" x14ac:dyDescent="0.25">
      <c r="A115" s="149" t="s">
        <v>7</v>
      </c>
      <c r="B115" s="62"/>
      <c r="C115" s="63"/>
      <c r="D115" s="63"/>
      <c r="E115" s="64"/>
      <c r="F115" s="197">
        <v>6.3</v>
      </c>
      <c r="G115" s="270">
        <v>0.2</v>
      </c>
      <c r="H115" s="287"/>
      <c r="I115" s="88"/>
      <c r="J115" s="89"/>
      <c r="K115" s="90"/>
      <c r="L115" s="90"/>
      <c r="M115" s="90"/>
      <c r="N115" s="91"/>
      <c r="O115" s="92"/>
      <c r="P115" s="92"/>
      <c r="Q115" s="72"/>
      <c r="R115" s="73"/>
      <c r="S115" s="144"/>
      <c r="T115" s="427"/>
      <c r="U115" s="427"/>
      <c r="V115" s="427"/>
      <c r="W115" s="93"/>
      <c r="X115" s="94"/>
      <c r="Y115" s="433"/>
      <c r="AD115" s="38"/>
      <c r="AE115" s="77"/>
      <c r="AF115" s="40"/>
      <c r="AG115" s="41"/>
      <c r="AH115" s="38"/>
      <c r="AI115" s="77"/>
      <c r="AJ115" s="42"/>
      <c r="AK115" s="41"/>
    </row>
    <row r="116" spans="1:37" s="341" customFormat="1" x14ac:dyDescent="0.2">
      <c r="A116" s="101" t="s">
        <v>45</v>
      </c>
      <c r="B116" s="102" t="s">
        <v>38</v>
      </c>
      <c r="C116" s="102" t="s">
        <v>38</v>
      </c>
      <c r="D116" s="102" t="s">
        <v>38</v>
      </c>
      <c r="E116" s="102" t="s">
        <v>38</v>
      </c>
      <c r="F116" s="308"/>
      <c r="G116" s="308"/>
      <c r="H116" s="299" t="s">
        <v>118</v>
      </c>
      <c r="I116" s="298" t="s">
        <v>38</v>
      </c>
      <c r="J116" s="309"/>
      <c r="K116" s="309"/>
      <c r="L116" s="309"/>
      <c r="M116" s="309"/>
      <c r="N116" s="309"/>
      <c r="O116" s="103"/>
      <c r="P116" s="103"/>
      <c r="Q116" s="104"/>
      <c r="R116" s="104"/>
      <c r="S116" s="104"/>
      <c r="T116" s="105"/>
      <c r="U116" s="106"/>
      <c r="V116" s="105"/>
      <c r="W116" s="107"/>
      <c r="X116" s="108"/>
      <c r="Y116" s="61"/>
      <c r="Z116" s="49"/>
      <c r="AA116" s="49"/>
      <c r="AB116" s="49"/>
      <c r="AC116" s="49"/>
      <c r="AD116" s="38"/>
      <c r="AE116" s="39"/>
      <c r="AF116" s="40"/>
      <c r="AG116" s="41"/>
      <c r="AH116" s="38"/>
      <c r="AI116" s="39"/>
      <c r="AJ116" s="42"/>
      <c r="AK116" s="41"/>
    </row>
    <row r="117" spans="1:37" s="76" customFormat="1" ht="18" customHeight="1" x14ac:dyDescent="0.25">
      <c r="A117" s="149" t="s">
        <v>196</v>
      </c>
      <c r="B117" s="110"/>
      <c r="C117" s="96"/>
      <c r="D117" s="96" t="s">
        <v>49</v>
      </c>
      <c r="E117" s="111"/>
      <c r="F117" s="280">
        <f>F118+F119</f>
        <v>20</v>
      </c>
      <c r="G117" s="65">
        <f>G118+G119</f>
        <v>3</v>
      </c>
      <c r="H117" s="281">
        <v>6.5500000000000007</v>
      </c>
      <c r="I117" s="66">
        <f>1.15+5.4</f>
        <v>6.5500000000000007</v>
      </c>
      <c r="J117" s="67">
        <f>G117+I117</f>
        <v>9.5500000000000007</v>
      </c>
      <c r="K117" s="68">
        <v>0.70799999999999996</v>
      </c>
      <c r="L117" s="69">
        <v>0.85</v>
      </c>
      <c r="M117" s="68">
        <f>K117+L117</f>
        <v>1.5579999999999998</v>
      </c>
      <c r="N117" s="70"/>
      <c r="O117" s="71"/>
      <c r="P117" s="71"/>
      <c r="Q117" s="72"/>
      <c r="R117" s="73"/>
      <c r="S117" s="144"/>
      <c r="T117" s="425" t="s">
        <v>122</v>
      </c>
      <c r="U117" s="425" t="s">
        <v>197</v>
      </c>
      <c r="V117" s="425"/>
      <c r="W117" s="74">
        <v>57.3291623</v>
      </c>
      <c r="X117" s="75">
        <v>107.0192814</v>
      </c>
      <c r="Y117" s="431" t="s">
        <v>251</v>
      </c>
      <c r="AD117" s="38"/>
      <c r="AE117" s="77"/>
      <c r="AF117" s="40">
        <v>1</v>
      </c>
      <c r="AG117" s="41"/>
      <c r="AH117" s="38"/>
      <c r="AI117" s="77"/>
      <c r="AJ117" s="42">
        <f>F117</f>
        <v>20</v>
      </c>
      <c r="AK117" s="41"/>
    </row>
    <row r="118" spans="1:37" ht="17.25" customHeight="1" x14ac:dyDescent="0.25">
      <c r="A118" s="149" t="s">
        <v>10</v>
      </c>
      <c r="B118" s="62"/>
      <c r="C118" s="63"/>
      <c r="D118" s="63"/>
      <c r="E118" s="64"/>
      <c r="F118" s="197">
        <v>10</v>
      </c>
      <c r="G118" s="270">
        <v>1</v>
      </c>
      <c r="H118" s="283"/>
      <c r="I118" s="78"/>
      <c r="J118" s="79"/>
      <c r="K118" s="79"/>
      <c r="L118" s="80"/>
      <c r="M118" s="81"/>
      <c r="N118" s="82">
        <f>J117</f>
        <v>9.5500000000000007</v>
      </c>
      <c r="O118" s="83">
        <f>N118/F118*100</f>
        <v>95.5</v>
      </c>
      <c r="P118" s="336">
        <f>IF(G117&gt;(F118*1.05),0,(F118*1.05)-G117)</f>
        <v>7.5</v>
      </c>
      <c r="Q118" s="336">
        <f>IF(N118&gt;(F118*1.05),0,(F118*1.05)-N118)</f>
        <v>0.94999999999999929</v>
      </c>
      <c r="R118" s="338">
        <f>IF(N118&gt;(1.05*F118),0,(F118*1.05)-N118)</f>
        <v>0.94999999999999929</v>
      </c>
      <c r="S118" s="381">
        <f>S100</f>
        <v>0.65225000000000932</v>
      </c>
      <c r="T118" s="426"/>
      <c r="U118" s="426"/>
      <c r="V118" s="426"/>
      <c r="W118" s="84"/>
      <c r="X118" s="85"/>
      <c r="Y118" s="432"/>
      <c r="AD118" s="38"/>
      <c r="AE118" s="39"/>
      <c r="AF118" s="40"/>
      <c r="AG118" s="41"/>
      <c r="AH118" s="38"/>
      <c r="AI118" s="39"/>
      <c r="AJ118" s="42"/>
      <c r="AK118" s="41"/>
    </row>
    <row r="119" spans="1:37" ht="16.5" customHeight="1" x14ac:dyDescent="0.25">
      <c r="A119" s="149" t="s">
        <v>7</v>
      </c>
      <c r="B119" s="62"/>
      <c r="C119" s="63"/>
      <c r="D119" s="63"/>
      <c r="E119" s="64"/>
      <c r="F119" s="197">
        <v>10</v>
      </c>
      <c r="G119" s="270">
        <v>2</v>
      </c>
      <c r="H119" s="287"/>
      <c r="I119" s="88"/>
      <c r="J119" s="89"/>
      <c r="K119" s="90"/>
      <c r="L119" s="90"/>
      <c r="M119" s="90"/>
      <c r="N119" s="91"/>
      <c r="O119" s="92"/>
      <c r="P119" s="92"/>
      <c r="Q119" s="72"/>
      <c r="R119" s="73"/>
      <c r="S119" s="144"/>
      <c r="T119" s="427"/>
      <c r="U119" s="427"/>
      <c r="V119" s="427"/>
      <c r="W119" s="93"/>
      <c r="X119" s="94"/>
      <c r="Y119" s="433"/>
      <c r="AD119" s="38"/>
      <c r="AE119" s="39"/>
      <c r="AF119" s="40"/>
      <c r="AG119" s="41"/>
      <c r="AH119" s="38"/>
      <c r="AI119" s="39"/>
      <c r="AJ119" s="42"/>
      <c r="AK119" s="41"/>
    </row>
    <row r="120" spans="1:37" s="341" customFormat="1" x14ac:dyDescent="0.2">
      <c r="A120" s="101" t="s">
        <v>45</v>
      </c>
      <c r="B120" s="102" t="s">
        <v>38</v>
      </c>
      <c r="C120" s="102" t="s">
        <v>38</v>
      </c>
      <c r="D120" s="102" t="s">
        <v>38</v>
      </c>
      <c r="E120" s="102" t="s">
        <v>38</v>
      </c>
      <c r="F120" s="308"/>
      <c r="G120" s="308"/>
      <c r="H120" s="299" t="s">
        <v>118</v>
      </c>
      <c r="I120" s="298" t="s">
        <v>38</v>
      </c>
      <c r="J120" s="309"/>
      <c r="K120" s="309"/>
      <c r="L120" s="309"/>
      <c r="M120" s="309"/>
      <c r="N120" s="309"/>
      <c r="O120" s="103"/>
      <c r="P120" s="103"/>
      <c r="Q120" s="104"/>
      <c r="R120" s="104"/>
      <c r="S120" s="104"/>
      <c r="T120" s="105"/>
      <c r="U120" s="106"/>
      <c r="V120" s="105"/>
      <c r="W120" s="107"/>
      <c r="X120" s="108"/>
      <c r="Y120" s="61"/>
      <c r="Z120" s="49"/>
      <c r="AA120" s="49"/>
      <c r="AB120" s="49"/>
      <c r="AC120" s="49"/>
      <c r="AD120" s="38"/>
      <c r="AE120" s="39"/>
      <c r="AF120" s="40"/>
      <c r="AG120" s="41"/>
      <c r="AH120" s="38"/>
      <c r="AI120" s="39"/>
      <c r="AJ120" s="42"/>
      <c r="AK120" s="41"/>
    </row>
    <row r="121" spans="1:37" ht="24.75" customHeight="1" x14ac:dyDescent="0.25">
      <c r="A121" s="149" t="s">
        <v>124</v>
      </c>
      <c r="B121" s="110"/>
      <c r="C121" s="96"/>
      <c r="D121" s="96" t="s">
        <v>49</v>
      </c>
      <c r="E121" s="111"/>
      <c r="F121" s="280">
        <f>F122</f>
        <v>6.3</v>
      </c>
      <c r="G121" s="65">
        <f>G122</f>
        <v>1.6</v>
      </c>
      <c r="H121" s="66">
        <f>0.667+0.015+0.32+0.006+0.05</f>
        <v>1.0580000000000001</v>
      </c>
      <c r="I121" s="66">
        <f>0.667+0.015+0.32+0.006+0.05</f>
        <v>1.0580000000000001</v>
      </c>
      <c r="J121" s="67">
        <f>G121+I121</f>
        <v>2.6580000000000004</v>
      </c>
      <c r="K121" s="68">
        <v>1.3340000000000001</v>
      </c>
      <c r="L121" s="69">
        <v>0</v>
      </c>
      <c r="M121" s="68">
        <f>K121+L121</f>
        <v>1.3340000000000001</v>
      </c>
      <c r="N121" s="70"/>
      <c r="O121" s="71"/>
      <c r="P121" s="71"/>
      <c r="Q121" s="72"/>
      <c r="R121" s="73"/>
      <c r="S121" s="144"/>
      <c r="T121" s="421" t="s">
        <v>125</v>
      </c>
      <c r="U121" s="421" t="s">
        <v>126</v>
      </c>
      <c r="V121" s="421"/>
      <c r="W121" s="140">
        <v>57.501598000000001</v>
      </c>
      <c r="X121" s="141">
        <v>107.900312</v>
      </c>
      <c r="Y121" s="434" t="s">
        <v>251</v>
      </c>
      <c r="AD121" s="38"/>
      <c r="AE121" s="77"/>
      <c r="AF121" s="40">
        <v>1</v>
      </c>
      <c r="AG121" s="41"/>
      <c r="AH121" s="38"/>
      <c r="AI121" s="39"/>
      <c r="AJ121" s="42">
        <f>F121</f>
        <v>6.3</v>
      </c>
      <c r="AK121" s="41"/>
    </row>
    <row r="122" spans="1:37" ht="21.75" customHeight="1" x14ac:dyDescent="0.25">
      <c r="A122" s="149" t="s">
        <v>10</v>
      </c>
      <c r="B122" s="62"/>
      <c r="C122" s="63"/>
      <c r="D122" s="63"/>
      <c r="E122" s="64"/>
      <c r="F122" s="197">
        <v>6.3</v>
      </c>
      <c r="G122" s="270">
        <v>1.6</v>
      </c>
      <c r="H122" s="300"/>
      <c r="I122" s="201"/>
      <c r="J122" s="91"/>
      <c r="K122" s="91"/>
      <c r="L122" s="194"/>
      <c r="M122" s="195"/>
      <c r="N122" s="82">
        <f>J121</f>
        <v>2.6580000000000004</v>
      </c>
      <c r="O122" s="83">
        <f>N122/F122*100</f>
        <v>42.190476190476197</v>
      </c>
      <c r="P122" s="336">
        <f>IF(G121&gt;(F122*1.05),0,(F122*1.05)-G121)</f>
        <v>5.0150000000000006</v>
      </c>
      <c r="Q122" s="336">
        <f>IF(N122&gt;(F122*1.05),0,(F122*1.05)-N122)</f>
        <v>3.9569999999999999</v>
      </c>
      <c r="R122" s="338">
        <f>IF(N122&gt;(1.05*F122),0,(F122*1.05)-N122)</f>
        <v>3.9569999999999999</v>
      </c>
      <c r="S122" s="381">
        <f>S100</f>
        <v>0.65225000000000932</v>
      </c>
      <c r="T122" s="422"/>
      <c r="U122" s="422"/>
      <c r="V122" s="422"/>
      <c r="W122" s="142"/>
      <c r="X122" s="143"/>
      <c r="Y122" s="435"/>
      <c r="AD122" s="38"/>
      <c r="AE122" s="39"/>
      <c r="AF122" s="40"/>
      <c r="AG122" s="41"/>
      <c r="AH122" s="38"/>
      <c r="AI122" s="39"/>
      <c r="AJ122" s="42"/>
      <c r="AK122" s="41"/>
    </row>
    <row r="123" spans="1:37" s="341" customFormat="1" x14ac:dyDescent="0.2">
      <c r="A123" s="50" t="s">
        <v>109</v>
      </c>
      <c r="B123" s="51" t="s">
        <v>38</v>
      </c>
      <c r="C123" s="51" t="s">
        <v>38</v>
      </c>
      <c r="D123" s="51" t="s">
        <v>38</v>
      </c>
      <c r="E123" s="51" t="s">
        <v>38</v>
      </c>
      <c r="F123" s="51" t="s">
        <v>38</v>
      </c>
      <c r="G123" s="268"/>
      <c r="H123" s="284"/>
      <c r="I123" s="53" t="s">
        <v>38</v>
      </c>
      <c r="J123" s="52"/>
      <c r="K123" s="52"/>
      <c r="L123" s="52"/>
      <c r="M123" s="52"/>
      <c r="N123" s="52"/>
      <c r="O123" s="54"/>
      <c r="P123" s="54"/>
      <c r="Q123" s="55"/>
      <c r="R123" s="55"/>
      <c r="S123" s="55"/>
      <c r="T123" s="58"/>
      <c r="U123" s="57"/>
      <c r="V123" s="58"/>
      <c r="W123" s="59"/>
      <c r="X123" s="60"/>
      <c r="Y123" s="61"/>
      <c r="Z123" s="49"/>
      <c r="AA123" s="49"/>
      <c r="AB123" s="49"/>
      <c r="AC123" s="49"/>
      <c r="AD123" s="38"/>
      <c r="AE123" s="39"/>
      <c r="AF123" s="40"/>
      <c r="AG123" s="41"/>
      <c r="AH123" s="38"/>
      <c r="AI123" s="39"/>
      <c r="AJ123" s="42"/>
      <c r="AK123" s="41"/>
    </row>
    <row r="124" spans="1:37" s="341" customFormat="1" ht="12.75" customHeight="1" x14ac:dyDescent="0.25">
      <c r="A124" s="202" t="s">
        <v>182</v>
      </c>
      <c r="B124" s="62"/>
      <c r="C124" s="96" t="s">
        <v>183</v>
      </c>
      <c r="D124" s="63"/>
      <c r="E124" s="64"/>
      <c r="F124" s="285">
        <f>F125+F126</f>
        <v>126</v>
      </c>
      <c r="G124" s="150">
        <f>G125+G126</f>
        <v>29.5</v>
      </c>
      <c r="H124" s="286">
        <v>0</v>
      </c>
      <c r="I124" s="151">
        <v>0.33600000000000008</v>
      </c>
      <c r="J124" s="152">
        <f>G124+I124</f>
        <v>29.835999999999999</v>
      </c>
      <c r="K124" s="153">
        <v>1.595</v>
      </c>
      <c r="L124" s="154">
        <v>23.879000000000001</v>
      </c>
      <c r="M124" s="68">
        <f>K124+L124</f>
        <v>25.474</v>
      </c>
      <c r="N124" s="70"/>
      <c r="O124" s="71"/>
      <c r="P124" s="71"/>
      <c r="Q124" s="72"/>
      <c r="R124" s="73"/>
      <c r="S124" s="144"/>
      <c r="T124" s="425" t="s">
        <v>184</v>
      </c>
      <c r="U124" s="425" t="s">
        <v>185</v>
      </c>
      <c r="V124" s="425"/>
      <c r="W124" s="74">
        <v>56.160907000000002</v>
      </c>
      <c r="X124" s="75">
        <v>107.4539924</v>
      </c>
      <c r="Y124" s="425"/>
      <c r="Z124" s="49"/>
      <c r="AA124" s="49"/>
      <c r="AB124" s="49"/>
      <c r="AC124" s="49"/>
      <c r="AD124" s="38"/>
      <c r="AE124" s="39">
        <v>1</v>
      </c>
      <c r="AF124" s="40"/>
      <c r="AG124" s="41"/>
      <c r="AH124" s="38"/>
      <c r="AI124" s="39">
        <f>F124</f>
        <v>126</v>
      </c>
      <c r="AJ124" s="42"/>
      <c r="AK124" s="41"/>
    </row>
    <row r="125" spans="1:37" x14ac:dyDescent="0.2">
      <c r="A125" s="97" t="s">
        <v>180</v>
      </c>
      <c r="B125" s="62"/>
      <c r="C125" s="63"/>
      <c r="D125" s="63"/>
      <c r="E125" s="64"/>
      <c r="F125" s="175">
        <v>63</v>
      </c>
      <c r="G125" s="274">
        <v>15.4</v>
      </c>
      <c r="H125" s="283"/>
      <c r="I125" s="78"/>
      <c r="J125" s="79"/>
      <c r="K125" s="79"/>
      <c r="L125" s="80"/>
      <c r="M125" s="81"/>
      <c r="N125" s="82">
        <f>J124</f>
        <v>29.835999999999999</v>
      </c>
      <c r="O125" s="83">
        <f>N125/F125*100</f>
        <v>47.358730158730154</v>
      </c>
      <c r="P125" s="336">
        <f>IF(G124&gt;(F125*1.05),0,(F125*1.05)-G124)</f>
        <v>36.650000000000006</v>
      </c>
      <c r="Q125" s="336">
        <f>IF(N125&gt;(F125*1.05),0,(F125*1.05)-N125)</f>
        <v>36.314000000000007</v>
      </c>
      <c r="R125" s="338">
        <f>IF(N125&gt;(1.05*F125),0,(F125*1.05)-N125)</f>
        <v>36.314000000000007</v>
      </c>
      <c r="S125" s="144">
        <f>R125</f>
        <v>36.314000000000007</v>
      </c>
      <c r="T125" s="426"/>
      <c r="U125" s="426"/>
      <c r="V125" s="426"/>
      <c r="W125" s="84"/>
      <c r="X125" s="85"/>
      <c r="Y125" s="426"/>
      <c r="AD125" s="38"/>
      <c r="AE125" s="39"/>
      <c r="AF125" s="40"/>
      <c r="AG125" s="41"/>
      <c r="AH125" s="38"/>
      <c r="AI125" s="39"/>
      <c r="AJ125" s="42"/>
      <c r="AK125" s="41"/>
    </row>
    <row r="126" spans="1:37" x14ac:dyDescent="0.2">
      <c r="A126" s="97" t="s">
        <v>181</v>
      </c>
      <c r="B126" s="62"/>
      <c r="C126" s="63"/>
      <c r="D126" s="63"/>
      <c r="E126" s="64"/>
      <c r="F126" s="175">
        <v>63</v>
      </c>
      <c r="G126" s="274">
        <v>14.1</v>
      </c>
      <c r="H126" s="287"/>
      <c r="I126" s="88"/>
      <c r="J126" s="89"/>
      <c r="K126" s="90"/>
      <c r="L126" s="90"/>
      <c r="M126" s="90"/>
      <c r="N126" s="91"/>
      <c r="O126" s="92"/>
      <c r="P126" s="92"/>
      <c r="Q126" s="72"/>
      <c r="R126" s="73"/>
      <c r="S126" s="144"/>
      <c r="T126" s="427"/>
      <c r="U126" s="427"/>
      <c r="V126" s="427"/>
      <c r="W126" s="93"/>
      <c r="X126" s="94"/>
      <c r="Y126" s="427"/>
      <c r="AD126" s="38"/>
      <c r="AE126" s="39"/>
      <c r="AF126" s="40"/>
      <c r="AG126" s="41"/>
      <c r="AH126" s="38"/>
      <c r="AI126" s="39"/>
      <c r="AJ126" s="42"/>
      <c r="AK126" s="41"/>
    </row>
    <row r="127" spans="1:37" s="341" customFormat="1" x14ac:dyDescent="0.2">
      <c r="A127" s="50"/>
      <c r="B127" s="51" t="s">
        <v>38</v>
      </c>
      <c r="C127" s="51" t="s">
        <v>38</v>
      </c>
      <c r="D127" s="51" t="s">
        <v>38</v>
      </c>
      <c r="E127" s="51" t="s">
        <v>38</v>
      </c>
      <c r="F127" s="51" t="s">
        <v>38</v>
      </c>
      <c r="G127" s="268"/>
      <c r="H127" s="284"/>
      <c r="I127" s="53" t="s">
        <v>38</v>
      </c>
      <c r="J127" s="52"/>
      <c r="K127" s="52"/>
      <c r="L127" s="52"/>
      <c r="M127" s="52"/>
      <c r="N127" s="52"/>
      <c r="O127" s="54"/>
      <c r="P127" s="54"/>
      <c r="Q127" s="55"/>
      <c r="R127" s="55"/>
      <c r="S127" s="55"/>
      <c r="T127" s="58"/>
      <c r="U127" s="57"/>
      <c r="V127" s="58"/>
      <c r="W127" s="59"/>
      <c r="X127" s="60"/>
      <c r="Y127" s="61"/>
      <c r="Z127" s="49"/>
      <c r="AA127" s="49"/>
      <c r="AB127" s="49"/>
      <c r="AC127" s="49"/>
      <c r="AD127" s="38"/>
      <c r="AE127" s="39"/>
      <c r="AF127" s="40"/>
      <c r="AG127" s="41"/>
      <c r="AH127" s="38"/>
      <c r="AI127" s="39"/>
      <c r="AJ127" s="42"/>
      <c r="AK127" s="41"/>
    </row>
    <row r="128" spans="1:37" s="341" customFormat="1" ht="12.75" customHeight="1" x14ac:dyDescent="0.25">
      <c r="A128" s="203" t="s">
        <v>182</v>
      </c>
      <c r="B128" s="62"/>
      <c r="C128" s="63"/>
      <c r="D128" s="63"/>
      <c r="E128" s="64"/>
      <c r="F128" s="285">
        <f>F129+F130</f>
        <v>32</v>
      </c>
      <c r="G128" s="150">
        <f>G129+G130</f>
        <v>15.7</v>
      </c>
      <c r="H128" s="286">
        <v>0.33600000000000008</v>
      </c>
      <c r="I128" s="151">
        <v>0.33600000000000008</v>
      </c>
      <c r="J128" s="152">
        <f>G128+I128</f>
        <v>16.035999999999998</v>
      </c>
      <c r="K128" s="153">
        <v>0</v>
      </c>
      <c r="L128" s="154">
        <v>0</v>
      </c>
      <c r="M128" s="68">
        <f>K128+L128</f>
        <v>0</v>
      </c>
      <c r="N128" s="70"/>
      <c r="O128" s="71"/>
      <c r="P128" s="71"/>
      <c r="Q128" s="72"/>
      <c r="R128" s="73"/>
      <c r="S128" s="144"/>
      <c r="T128" s="425" t="s">
        <v>184</v>
      </c>
      <c r="U128" s="425" t="s">
        <v>185</v>
      </c>
      <c r="V128" s="425"/>
      <c r="W128" s="74">
        <v>56.160907000000002</v>
      </c>
      <c r="X128" s="75">
        <v>107.4539924</v>
      </c>
      <c r="Y128" s="425"/>
      <c r="Z128" s="49"/>
      <c r="AA128" s="49"/>
      <c r="AB128" s="49"/>
      <c r="AC128" s="49"/>
      <c r="AD128" s="38"/>
      <c r="AE128" s="39"/>
      <c r="AF128" s="40"/>
      <c r="AG128" s="41"/>
      <c r="AH128" s="38"/>
      <c r="AI128" s="39"/>
      <c r="AJ128" s="42"/>
      <c r="AK128" s="41"/>
    </row>
    <row r="129" spans="1:37" x14ac:dyDescent="0.2">
      <c r="A129" s="302" t="s">
        <v>10</v>
      </c>
      <c r="B129" s="62"/>
      <c r="C129" s="63"/>
      <c r="D129" s="63"/>
      <c r="E129" s="64"/>
      <c r="F129" s="175">
        <v>16</v>
      </c>
      <c r="G129" s="274">
        <v>7.9</v>
      </c>
      <c r="H129" s="283"/>
      <c r="I129" s="78"/>
      <c r="J129" s="79"/>
      <c r="K129" s="79"/>
      <c r="L129" s="80"/>
      <c r="M129" s="81"/>
      <c r="N129" s="82">
        <f>J128</f>
        <v>16.035999999999998</v>
      </c>
      <c r="O129" s="83">
        <f>N129/F129*100</f>
        <v>100.22499999999998</v>
      </c>
      <c r="P129" s="336">
        <f>IF(G128&gt;(F129*1.05),0,(F129*1.05)-G128)</f>
        <v>1.1000000000000014</v>
      </c>
      <c r="Q129" s="336">
        <f>IF(N129&gt;(F129*1.05),0,(F129*1.05)-N129)</f>
        <v>0.7640000000000029</v>
      </c>
      <c r="R129" s="338">
        <f>IF(N129&gt;(1.05*F129),0,(F129*1.05)-N129)</f>
        <v>0.7640000000000029</v>
      </c>
      <c r="S129" s="144">
        <f>R129</f>
        <v>0.7640000000000029</v>
      </c>
      <c r="T129" s="426"/>
      <c r="U129" s="426"/>
      <c r="V129" s="426"/>
      <c r="W129" s="84"/>
      <c r="X129" s="85"/>
      <c r="Y129" s="426"/>
      <c r="AD129" s="38"/>
      <c r="AE129" s="39"/>
      <c r="AF129" s="40"/>
      <c r="AG129" s="41"/>
      <c r="AH129" s="38"/>
      <c r="AI129" s="39"/>
      <c r="AJ129" s="42"/>
      <c r="AK129" s="41"/>
    </row>
    <row r="130" spans="1:37" x14ac:dyDescent="0.2">
      <c r="A130" s="302" t="s">
        <v>7</v>
      </c>
      <c r="B130" s="62"/>
      <c r="C130" s="63"/>
      <c r="D130" s="63"/>
      <c r="E130" s="64"/>
      <c r="F130" s="175">
        <v>16</v>
      </c>
      <c r="G130" s="274">
        <v>7.8</v>
      </c>
      <c r="H130" s="287"/>
      <c r="I130" s="88"/>
      <c r="J130" s="89"/>
      <c r="K130" s="90"/>
      <c r="L130" s="90"/>
      <c r="M130" s="90"/>
      <c r="N130" s="91"/>
      <c r="O130" s="92"/>
      <c r="P130" s="92"/>
      <c r="Q130" s="72"/>
      <c r="R130" s="73"/>
      <c r="S130" s="144"/>
      <c r="T130" s="427"/>
      <c r="U130" s="427"/>
      <c r="V130" s="427"/>
      <c r="W130" s="93"/>
      <c r="X130" s="94"/>
      <c r="Y130" s="427"/>
      <c r="AD130" s="38"/>
      <c r="AE130" s="39"/>
      <c r="AF130" s="40"/>
      <c r="AG130" s="41"/>
      <c r="AH130" s="38"/>
      <c r="AI130" s="39"/>
      <c r="AJ130" s="42"/>
      <c r="AK130" s="41"/>
    </row>
    <row r="131" spans="1:37" s="341" customFormat="1" x14ac:dyDescent="0.2">
      <c r="A131" s="125" t="s">
        <v>53</v>
      </c>
      <c r="B131" s="126" t="s">
        <v>38</v>
      </c>
      <c r="C131" s="126" t="s">
        <v>38</v>
      </c>
      <c r="D131" s="126" t="s">
        <v>38</v>
      </c>
      <c r="E131" s="126" t="s">
        <v>38</v>
      </c>
      <c r="F131" s="127"/>
      <c r="G131" s="127"/>
      <c r="H131" s="279" t="s">
        <v>186</v>
      </c>
      <c r="I131" s="129" t="s">
        <v>38</v>
      </c>
      <c r="J131" s="128"/>
      <c r="K131" s="128"/>
      <c r="L131" s="128"/>
      <c r="M131" s="128"/>
      <c r="N131" s="128"/>
      <c r="O131" s="130"/>
      <c r="P131" s="130"/>
      <c r="Q131" s="131"/>
      <c r="R131" s="131"/>
      <c r="S131" s="131"/>
      <c r="T131" s="134"/>
      <c r="U131" s="133"/>
      <c r="V131" s="134"/>
      <c r="W131" s="135"/>
      <c r="X131" s="136"/>
      <c r="Y131" s="61"/>
      <c r="Z131" s="49"/>
      <c r="AA131" s="49"/>
      <c r="AB131" s="49"/>
      <c r="AC131" s="49"/>
      <c r="AD131" s="38"/>
      <c r="AE131" s="39"/>
      <c r="AF131" s="40"/>
      <c r="AG131" s="41"/>
      <c r="AH131" s="38"/>
      <c r="AI131" s="39"/>
      <c r="AJ131" s="42"/>
      <c r="AK131" s="41"/>
    </row>
    <row r="132" spans="1:37" s="341" customFormat="1" ht="14.25" customHeight="1" x14ac:dyDescent="0.25">
      <c r="A132" s="149" t="s">
        <v>187</v>
      </c>
      <c r="B132" s="137"/>
      <c r="C132" s="138"/>
      <c r="D132" s="138"/>
      <c r="E132" s="139" t="s">
        <v>60</v>
      </c>
      <c r="F132" s="285">
        <f>F133+F134</f>
        <v>12.6</v>
      </c>
      <c r="G132" s="150">
        <f>G133+G134</f>
        <v>5.0999999999999996</v>
      </c>
      <c r="H132" s="286">
        <v>0</v>
      </c>
      <c r="I132" s="151">
        <v>0</v>
      </c>
      <c r="J132" s="152">
        <f>G132+I132</f>
        <v>5.0999999999999996</v>
      </c>
      <c r="K132" s="153">
        <v>0</v>
      </c>
      <c r="L132" s="154">
        <v>4.8810000000000002</v>
      </c>
      <c r="M132" s="68">
        <f>K132+L132</f>
        <v>4.8810000000000002</v>
      </c>
      <c r="N132" s="70"/>
      <c r="O132" s="71"/>
      <c r="P132" s="71"/>
      <c r="Q132" s="72"/>
      <c r="R132" s="73"/>
      <c r="S132" s="144"/>
      <c r="T132" s="425" t="s">
        <v>184</v>
      </c>
      <c r="U132" s="425" t="s">
        <v>188</v>
      </c>
      <c r="V132" s="425"/>
      <c r="W132" s="74">
        <v>56.266232000000002</v>
      </c>
      <c r="X132" s="75">
        <v>107.58103800000001</v>
      </c>
      <c r="Y132" s="425"/>
      <c r="Z132" s="49"/>
      <c r="AA132" s="49"/>
      <c r="AB132" s="49"/>
      <c r="AC132" s="49"/>
      <c r="AD132" s="38"/>
      <c r="AE132" s="39"/>
      <c r="AF132" s="40"/>
      <c r="AG132" s="41">
        <v>1</v>
      </c>
      <c r="AH132" s="38"/>
      <c r="AI132" s="39"/>
      <c r="AJ132" s="42"/>
      <c r="AK132" s="41">
        <f>F132</f>
        <v>12.6</v>
      </c>
    </row>
    <row r="133" spans="1:37" x14ac:dyDescent="0.2">
      <c r="A133" s="149" t="s">
        <v>10</v>
      </c>
      <c r="B133" s="62"/>
      <c r="C133" s="63"/>
      <c r="D133" s="63"/>
      <c r="E133" s="64"/>
      <c r="F133" s="156">
        <v>6.3</v>
      </c>
      <c r="G133" s="193">
        <v>1.9</v>
      </c>
      <c r="H133" s="283"/>
      <c r="I133" s="78"/>
      <c r="J133" s="79"/>
      <c r="K133" s="79"/>
      <c r="L133" s="80"/>
      <c r="M133" s="81"/>
      <c r="N133" s="82">
        <f>J132</f>
        <v>5.0999999999999996</v>
      </c>
      <c r="O133" s="83">
        <f>N133/F133*100</f>
        <v>80.952380952380949</v>
      </c>
      <c r="P133" s="336">
        <f>IF(G132&gt;(F133*1.05),0,(F133*1.05)-G132)</f>
        <v>1.5150000000000006</v>
      </c>
      <c r="Q133" s="336">
        <f>IF(N133&gt;(F133*1.05),0,(F133*1.05)-N133)</f>
        <v>1.5150000000000006</v>
      </c>
      <c r="R133" s="338">
        <f>IF(N133&gt;(1.05*F133),0,(F133*1.05)-N133)</f>
        <v>1.5150000000000006</v>
      </c>
      <c r="S133" s="144">
        <f>R133</f>
        <v>1.5150000000000006</v>
      </c>
      <c r="T133" s="426"/>
      <c r="U133" s="426"/>
      <c r="V133" s="426"/>
      <c r="W133" s="84"/>
      <c r="X133" s="85"/>
      <c r="Y133" s="426"/>
      <c r="AD133" s="38"/>
      <c r="AE133" s="39"/>
      <c r="AF133" s="40"/>
      <c r="AG133" s="41"/>
      <c r="AH133" s="38"/>
      <c r="AI133" s="39"/>
      <c r="AJ133" s="42"/>
      <c r="AK133" s="41"/>
    </row>
    <row r="134" spans="1:37" x14ac:dyDescent="0.2">
      <c r="A134" s="149" t="s">
        <v>7</v>
      </c>
      <c r="B134" s="62"/>
      <c r="C134" s="63"/>
      <c r="D134" s="63"/>
      <c r="E134" s="64"/>
      <c r="F134" s="156">
        <v>6.3</v>
      </c>
      <c r="G134" s="193">
        <v>3.2</v>
      </c>
      <c r="H134" s="287"/>
      <c r="I134" s="88"/>
      <c r="J134" s="89"/>
      <c r="K134" s="90"/>
      <c r="L134" s="90"/>
      <c r="M134" s="90"/>
      <c r="N134" s="91"/>
      <c r="O134" s="92"/>
      <c r="P134" s="92"/>
      <c r="Q134" s="72"/>
      <c r="R134" s="73"/>
      <c r="S134" s="144"/>
      <c r="T134" s="427"/>
      <c r="U134" s="427"/>
      <c r="V134" s="427"/>
      <c r="W134" s="93"/>
      <c r="X134" s="94"/>
      <c r="Y134" s="427"/>
      <c r="AD134" s="38"/>
      <c r="AE134" s="39"/>
      <c r="AF134" s="40"/>
      <c r="AG134" s="41"/>
      <c r="AH134" s="38"/>
      <c r="AI134" s="39"/>
      <c r="AJ134" s="42"/>
      <c r="AK134" s="41"/>
    </row>
    <row r="135" spans="1:37" s="341" customFormat="1" x14ac:dyDescent="0.2">
      <c r="A135" s="125" t="s">
        <v>53</v>
      </c>
      <c r="B135" s="126" t="s">
        <v>38</v>
      </c>
      <c r="C135" s="126" t="s">
        <v>38</v>
      </c>
      <c r="D135" s="126" t="s">
        <v>38</v>
      </c>
      <c r="E135" s="126" t="s">
        <v>38</v>
      </c>
      <c r="F135" s="127"/>
      <c r="G135" s="127"/>
      <c r="H135" s="279" t="s">
        <v>186</v>
      </c>
      <c r="I135" s="129" t="s">
        <v>38</v>
      </c>
      <c r="J135" s="128"/>
      <c r="K135" s="128"/>
      <c r="L135" s="128"/>
      <c r="M135" s="128"/>
      <c r="N135" s="128"/>
      <c r="O135" s="130"/>
      <c r="P135" s="130"/>
      <c r="Q135" s="131"/>
      <c r="R135" s="131"/>
      <c r="S135" s="131"/>
      <c r="T135" s="134"/>
      <c r="U135" s="133"/>
      <c r="V135" s="134"/>
      <c r="W135" s="135"/>
      <c r="X135" s="136"/>
      <c r="Y135" s="61"/>
      <c r="Z135" s="49"/>
      <c r="AA135" s="49"/>
      <c r="AB135" s="49"/>
      <c r="AC135" s="49"/>
      <c r="AD135" s="38"/>
      <c r="AE135" s="39"/>
      <c r="AF135" s="40"/>
      <c r="AG135" s="41"/>
      <c r="AH135" s="38"/>
      <c r="AI135" s="39"/>
      <c r="AJ135" s="42"/>
      <c r="AK135" s="41"/>
    </row>
    <row r="136" spans="1:37" ht="14.25" customHeight="1" x14ac:dyDescent="0.25">
      <c r="A136" s="149" t="s">
        <v>189</v>
      </c>
      <c r="B136" s="137"/>
      <c r="C136" s="138"/>
      <c r="D136" s="138"/>
      <c r="E136" s="139" t="s">
        <v>60</v>
      </c>
      <c r="F136" s="285">
        <f>F137+F138</f>
        <v>8</v>
      </c>
      <c r="G136" s="150">
        <f>G137+G138</f>
        <v>0.6</v>
      </c>
      <c r="H136" s="286">
        <v>2E-3</v>
      </c>
      <c r="I136" s="151">
        <v>2E-3</v>
      </c>
      <c r="J136" s="152">
        <f>G136+I136</f>
        <v>0.60199999999999998</v>
      </c>
      <c r="K136" s="153">
        <v>0.6</v>
      </c>
      <c r="L136" s="154">
        <v>1.5</v>
      </c>
      <c r="M136" s="68">
        <f>K136+L136</f>
        <v>2.1</v>
      </c>
      <c r="N136" s="70"/>
      <c r="O136" s="71"/>
      <c r="P136" s="71"/>
      <c r="Q136" s="72"/>
      <c r="R136" s="73"/>
      <c r="S136" s="144"/>
      <c r="T136" s="425" t="s">
        <v>184</v>
      </c>
      <c r="U136" s="425" t="s">
        <v>190</v>
      </c>
      <c r="V136" s="425"/>
      <c r="W136" s="74">
        <v>56.3539812</v>
      </c>
      <c r="X136" s="75">
        <v>107.1106911</v>
      </c>
      <c r="Y136" s="425"/>
      <c r="AD136" s="38"/>
      <c r="AE136" s="39"/>
      <c r="AF136" s="40"/>
      <c r="AG136" s="41">
        <v>1</v>
      </c>
      <c r="AH136" s="38"/>
      <c r="AI136" s="39"/>
      <c r="AJ136" s="42"/>
      <c r="AK136" s="41">
        <f>F136</f>
        <v>8</v>
      </c>
    </row>
    <row r="137" spans="1:37" x14ac:dyDescent="0.25">
      <c r="A137" s="149" t="s">
        <v>10</v>
      </c>
      <c r="B137" s="62"/>
      <c r="C137" s="63"/>
      <c r="D137" s="63"/>
      <c r="E137" s="64"/>
      <c r="F137" s="156">
        <v>4</v>
      </c>
      <c r="G137" s="270">
        <v>0.3</v>
      </c>
      <c r="H137" s="283"/>
      <c r="I137" s="78"/>
      <c r="J137" s="79"/>
      <c r="K137" s="79"/>
      <c r="L137" s="80"/>
      <c r="M137" s="81"/>
      <c r="N137" s="82">
        <f>J136</f>
        <v>0.60199999999999998</v>
      </c>
      <c r="O137" s="83">
        <f>N137/F137*100</f>
        <v>15.049999999999999</v>
      </c>
      <c r="P137" s="336">
        <f>IF(G136&gt;(F137*1.05),0,(F137*1.05)-G136)</f>
        <v>3.6</v>
      </c>
      <c r="Q137" s="336">
        <f>IF(N137&gt;(F137*1.05),0,(F137*1.05)-N137)</f>
        <v>3.5980000000000003</v>
      </c>
      <c r="R137" s="338">
        <f>IF(N137&gt;(1.05*F137),0,(F137*1.05)-N137)</f>
        <v>3.5980000000000003</v>
      </c>
      <c r="S137" s="144">
        <f>R137</f>
        <v>3.5980000000000003</v>
      </c>
      <c r="T137" s="426"/>
      <c r="U137" s="426"/>
      <c r="V137" s="426"/>
      <c r="W137" s="84"/>
      <c r="X137" s="85"/>
      <c r="Y137" s="426"/>
      <c r="AD137" s="38"/>
      <c r="AE137" s="39"/>
      <c r="AF137" s="40"/>
      <c r="AG137" s="41"/>
      <c r="AH137" s="38"/>
      <c r="AI137" s="39"/>
      <c r="AJ137" s="42"/>
      <c r="AK137" s="41"/>
    </row>
    <row r="138" spans="1:37" x14ac:dyDescent="0.25">
      <c r="A138" s="149" t="s">
        <v>7</v>
      </c>
      <c r="B138" s="62"/>
      <c r="C138" s="63"/>
      <c r="D138" s="63"/>
      <c r="E138" s="64"/>
      <c r="F138" s="156">
        <v>4</v>
      </c>
      <c r="G138" s="270">
        <v>0.3</v>
      </c>
      <c r="H138" s="287"/>
      <c r="I138" s="88"/>
      <c r="J138" s="89"/>
      <c r="K138" s="90"/>
      <c r="L138" s="90"/>
      <c r="M138" s="90"/>
      <c r="N138" s="91"/>
      <c r="O138" s="92"/>
      <c r="P138" s="92"/>
      <c r="Q138" s="72"/>
      <c r="R138" s="73"/>
      <c r="S138" s="144"/>
      <c r="T138" s="427"/>
      <c r="U138" s="427"/>
      <c r="V138" s="427"/>
      <c r="W138" s="93"/>
      <c r="X138" s="94"/>
      <c r="Y138" s="427"/>
      <c r="AD138" s="38"/>
      <c r="AE138" s="39"/>
      <c r="AF138" s="40"/>
      <c r="AG138" s="41"/>
      <c r="AH138" s="38"/>
      <c r="AI138" s="39"/>
      <c r="AJ138" s="42"/>
      <c r="AK138" s="41"/>
    </row>
    <row r="139" spans="1:37" s="341" customFormat="1" x14ac:dyDescent="0.2">
      <c r="A139" s="125" t="s">
        <v>53</v>
      </c>
      <c r="B139" s="126" t="s">
        <v>38</v>
      </c>
      <c r="C139" s="126" t="s">
        <v>38</v>
      </c>
      <c r="D139" s="126" t="s">
        <v>38</v>
      </c>
      <c r="E139" s="126" t="s">
        <v>38</v>
      </c>
      <c r="F139" s="127"/>
      <c r="G139" s="127"/>
      <c r="H139" s="279" t="s">
        <v>186</v>
      </c>
      <c r="I139" s="129" t="s">
        <v>38</v>
      </c>
      <c r="J139" s="128"/>
      <c r="K139" s="128"/>
      <c r="L139" s="128"/>
      <c r="M139" s="128"/>
      <c r="N139" s="128"/>
      <c r="O139" s="130"/>
      <c r="P139" s="130"/>
      <c r="Q139" s="131"/>
      <c r="R139" s="131"/>
      <c r="S139" s="131"/>
      <c r="T139" s="134"/>
      <c r="U139" s="133"/>
      <c r="V139" s="134"/>
      <c r="W139" s="135"/>
      <c r="X139" s="136"/>
      <c r="Y139" s="61"/>
      <c r="Z139" s="49"/>
      <c r="AA139" s="49"/>
      <c r="AB139" s="49"/>
      <c r="AC139" s="49"/>
      <c r="AD139" s="38"/>
      <c r="AE139" s="39"/>
      <c r="AF139" s="40"/>
      <c r="AG139" s="41"/>
      <c r="AH139" s="38"/>
      <c r="AI139" s="39"/>
      <c r="AJ139" s="42"/>
      <c r="AK139" s="41"/>
    </row>
    <row r="140" spans="1:37" s="341" customFormat="1" ht="14.25" customHeight="1" x14ac:dyDescent="0.25">
      <c r="A140" s="149" t="s">
        <v>191</v>
      </c>
      <c r="B140" s="137"/>
      <c r="C140" s="138"/>
      <c r="D140" s="138"/>
      <c r="E140" s="139" t="s">
        <v>60</v>
      </c>
      <c r="F140" s="285">
        <f>F141+F142</f>
        <v>14</v>
      </c>
      <c r="G140" s="150">
        <f>G141+G142</f>
        <v>1.2</v>
      </c>
      <c r="H140" s="286">
        <v>0</v>
      </c>
      <c r="I140" s="151">
        <v>0</v>
      </c>
      <c r="J140" s="152">
        <f>G140+I140</f>
        <v>1.2</v>
      </c>
      <c r="K140" s="153">
        <v>0.63800000000000001</v>
      </c>
      <c r="L140" s="154">
        <v>1.4</v>
      </c>
      <c r="M140" s="68">
        <f>K140+L140</f>
        <v>2.0379999999999998</v>
      </c>
      <c r="N140" s="70"/>
      <c r="O140" s="71"/>
      <c r="P140" s="71"/>
      <c r="Q140" s="72"/>
      <c r="R140" s="73"/>
      <c r="S140" s="144"/>
      <c r="T140" s="425" t="s">
        <v>184</v>
      </c>
      <c r="U140" s="425" t="s">
        <v>188</v>
      </c>
      <c r="V140" s="425"/>
      <c r="W140" s="74">
        <v>55.979417099999999</v>
      </c>
      <c r="X140" s="75">
        <v>107.5710869</v>
      </c>
      <c r="Y140" s="425"/>
      <c r="Z140" s="49"/>
      <c r="AA140" s="49"/>
      <c r="AB140" s="49"/>
      <c r="AC140" s="49"/>
      <c r="AD140" s="38"/>
      <c r="AE140" s="39"/>
      <c r="AF140" s="40"/>
      <c r="AG140" s="41">
        <v>1</v>
      </c>
      <c r="AH140" s="38"/>
      <c r="AI140" s="39"/>
      <c r="AJ140" s="42"/>
      <c r="AK140" s="41">
        <f>F140</f>
        <v>14</v>
      </c>
    </row>
    <row r="141" spans="1:37" x14ac:dyDescent="0.2">
      <c r="A141" s="149" t="s">
        <v>10</v>
      </c>
      <c r="B141" s="62"/>
      <c r="C141" s="63"/>
      <c r="D141" s="63"/>
      <c r="E141" s="64"/>
      <c r="F141" s="156">
        <v>4</v>
      </c>
      <c r="G141" s="193">
        <v>1.2</v>
      </c>
      <c r="H141" s="283"/>
      <c r="I141" s="78"/>
      <c r="J141" s="79"/>
      <c r="K141" s="79"/>
      <c r="L141" s="80"/>
      <c r="M141" s="81"/>
      <c r="N141" s="82">
        <f>J140</f>
        <v>1.2</v>
      </c>
      <c r="O141" s="83">
        <f>N141/F141*100</f>
        <v>30</v>
      </c>
      <c r="P141" s="336">
        <f>IF(G140&gt;(F141*1.05),0,(F141*1.05)-G140)</f>
        <v>3</v>
      </c>
      <c r="Q141" s="336">
        <f>IF(N141&gt;(F141*1.05),0,(F141*1.05)-N141)</f>
        <v>3</v>
      </c>
      <c r="R141" s="338">
        <f>IF(N141&gt;(1.05*F141),0,(F141*1.05)-N141)</f>
        <v>3</v>
      </c>
      <c r="S141" s="144">
        <f>R141</f>
        <v>3</v>
      </c>
      <c r="T141" s="426"/>
      <c r="U141" s="426"/>
      <c r="V141" s="426"/>
      <c r="W141" s="84"/>
      <c r="X141" s="85"/>
      <c r="Y141" s="426"/>
      <c r="AD141" s="38"/>
      <c r="AE141" s="39"/>
      <c r="AF141" s="40"/>
      <c r="AG141" s="41"/>
      <c r="AH141" s="38"/>
      <c r="AI141" s="39"/>
      <c r="AJ141" s="42"/>
      <c r="AK141" s="41"/>
    </row>
    <row r="142" spans="1:37" x14ac:dyDescent="0.2">
      <c r="A142" s="149" t="s">
        <v>7</v>
      </c>
      <c r="B142" s="62"/>
      <c r="C142" s="63"/>
      <c r="D142" s="63"/>
      <c r="E142" s="64"/>
      <c r="F142" s="156">
        <v>10</v>
      </c>
      <c r="G142" s="193">
        <v>0</v>
      </c>
      <c r="H142" s="287"/>
      <c r="I142" s="88"/>
      <c r="J142" s="89"/>
      <c r="K142" s="90"/>
      <c r="L142" s="90"/>
      <c r="M142" s="90"/>
      <c r="N142" s="91"/>
      <c r="O142" s="92"/>
      <c r="P142" s="92"/>
      <c r="Q142" s="72"/>
      <c r="R142" s="73"/>
      <c r="S142" s="144"/>
      <c r="T142" s="427"/>
      <c r="U142" s="427"/>
      <c r="V142" s="427"/>
      <c r="W142" s="93"/>
      <c r="X142" s="94"/>
      <c r="Y142" s="427"/>
      <c r="AD142" s="38"/>
      <c r="AE142" s="39"/>
      <c r="AF142" s="40"/>
      <c r="AG142" s="41"/>
      <c r="AH142" s="38"/>
      <c r="AI142" s="39"/>
      <c r="AJ142" s="42"/>
      <c r="AK142" s="41"/>
    </row>
    <row r="143" spans="1:37" s="341" customFormat="1" x14ac:dyDescent="0.2">
      <c r="A143" s="125"/>
      <c r="B143" s="126" t="s">
        <v>38</v>
      </c>
      <c r="C143" s="126" t="s">
        <v>38</v>
      </c>
      <c r="D143" s="126" t="s">
        <v>38</v>
      </c>
      <c r="E143" s="126" t="s">
        <v>38</v>
      </c>
      <c r="F143" s="127"/>
      <c r="G143" s="127"/>
      <c r="H143" s="279"/>
      <c r="I143" s="129" t="s">
        <v>38</v>
      </c>
      <c r="J143" s="128"/>
      <c r="K143" s="128"/>
      <c r="L143" s="128"/>
      <c r="M143" s="128"/>
      <c r="N143" s="128"/>
      <c r="O143" s="130"/>
      <c r="P143" s="130"/>
      <c r="Q143" s="131"/>
      <c r="R143" s="131"/>
      <c r="S143" s="131"/>
      <c r="T143" s="134"/>
      <c r="U143" s="133"/>
      <c r="V143" s="134"/>
      <c r="W143" s="135"/>
      <c r="X143" s="136"/>
      <c r="Y143" s="61"/>
      <c r="Z143" s="49"/>
      <c r="AA143" s="49"/>
      <c r="AB143" s="49"/>
      <c r="AC143" s="49"/>
      <c r="AD143" s="38"/>
      <c r="AE143" s="39"/>
      <c r="AF143" s="40"/>
      <c r="AG143" s="41"/>
      <c r="AH143" s="38"/>
      <c r="AI143" s="39"/>
      <c r="AJ143" s="42"/>
      <c r="AK143" s="41"/>
    </row>
    <row r="144" spans="1:37" ht="14.25" customHeight="1" x14ac:dyDescent="0.25">
      <c r="A144" s="149" t="s">
        <v>192</v>
      </c>
      <c r="B144" s="137"/>
      <c r="C144" s="138"/>
      <c r="D144" s="138"/>
      <c r="E144" s="139" t="s">
        <v>193</v>
      </c>
      <c r="F144" s="285">
        <f>F145</f>
        <v>0.16</v>
      </c>
      <c r="G144" s="303">
        <f>G145</f>
        <v>0.1</v>
      </c>
      <c r="H144" s="286">
        <v>0</v>
      </c>
      <c r="I144" s="151">
        <v>0</v>
      </c>
      <c r="J144" s="152">
        <f>G144+I144</f>
        <v>0.1</v>
      </c>
      <c r="K144" s="153">
        <v>0.12</v>
      </c>
      <c r="L144" s="154">
        <v>0</v>
      </c>
      <c r="M144" s="68">
        <f>K144+L144</f>
        <v>0.12</v>
      </c>
      <c r="N144" s="70"/>
      <c r="O144" s="71"/>
      <c r="P144" s="71"/>
      <c r="Q144" s="72"/>
      <c r="R144" s="73"/>
      <c r="S144" s="144"/>
      <c r="T144" s="421" t="s">
        <v>194</v>
      </c>
      <c r="U144" s="421" t="s">
        <v>195</v>
      </c>
      <c r="V144" s="421"/>
      <c r="W144" s="140">
        <v>55.702451799999999</v>
      </c>
      <c r="X144" s="141">
        <v>107.82317159999999</v>
      </c>
      <c r="Y144" s="423"/>
      <c r="AD144" s="38"/>
      <c r="AE144" s="39"/>
      <c r="AF144" s="40"/>
      <c r="AG144" s="41">
        <v>1</v>
      </c>
      <c r="AH144" s="38"/>
      <c r="AI144" s="39"/>
      <c r="AJ144" s="42"/>
      <c r="AK144" s="41">
        <f>F144</f>
        <v>0.16</v>
      </c>
    </row>
    <row r="145" spans="1:37" x14ac:dyDescent="0.25">
      <c r="A145" s="149" t="s">
        <v>10</v>
      </c>
      <c r="B145" s="62"/>
      <c r="C145" s="63"/>
      <c r="D145" s="63"/>
      <c r="E145" s="64"/>
      <c r="F145" s="156">
        <v>0.16</v>
      </c>
      <c r="G145" s="156">
        <v>0.1</v>
      </c>
      <c r="H145" s="283"/>
      <c r="I145" s="78"/>
      <c r="J145" s="79"/>
      <c r="K145" s="79"/>
      <c r="L145" s="80"/>
      <c r="M145" s="81"/>
      <c r="N145" s="82">
        <f>J144</f>
        <v>0.1</v>
      </c>
      <c r="O145" s="83">
        <f>N145/F145*100</f>
        <v>62.5</v>
      </c>
      <c r="P145" s="336">
        <f>IF(G144&gt;(F145*1.05),0,(F145*1.05)-G144)</f>
        <v>6.8000000000000005E-2</v>
      </c>
      <c r="Q145" s="336">
        <f>IF(N145&gt;(F145*1.05),0,(F145*1.05)-N145)</f>
        <v>6.8000000000000005E-2</v>
      </c>
      <c r="R145" s="338">
        <f>IF(N145&gt;(1.05*F145),0,(F145*1.05)-N145)</f>
        <v>6.8000000000000005E-2</v>
      </c>
      <c r="S145" s="144">
        <f>R145</f>
        <v>6.8000000000000005E-2</v>
      </c>
      <c r="T145" s="422"/>
      <c r="U145" s="422"/>
      <c r="V145" s="422"/>
      <c r="W145" s="142"/>
      <c r="X145" s="143"/>
      <c r="Y145" s="424"/>
      <c r="AD145" s="38"/>
      <c r="AE145" s="39"/>
      <c r="AF145" s="40"/>
      <c r="AG145" s="41"/>
      <c r="AH145" s="38"/>
      <c r="AI145" s="39"/>
      <c r="AJ145" s="42"/>
      <c r="AK145" s="41"/>
    </row>
    <row r="146" spans="1:37" s="341" customFormat="1" x14ac:dyDescent="0.2">
      <c r="A146" s="50" t="s">
        <v>109</v>
      </c>
      <c r="B146" s="51" t="s">
        <v>38</v>
      </c>
      <c r="C146" s="51" t="s">
        <v>38</v>
      </c>
      <c r="D146" s="51" t="s">
        <v>38</v>
      </c>
      <c r="E146" s="51" t="s">
        <v>38</v>
      </c>
      <c r="F146" s="51" t="s">
        <v>38</v>
      </c>
      <c r="G146" s="268"/>
      <c r="H146" s="284"/>
      <c r="I146" s="53" t="s">
        <v>38</v>
      </c>
      <c r="J146" s="52"/>
      <c r="K146" s="52"/>
      <c r="L146" s="52"/>
      <c r="M146" s="52"/>
      <c r="N146" s="52"/>
      <c r="O146" s="54"/>
      <c r="P146" s="54"/>
      <c r="Q146" s="55"/>
      <c r="R146" s="55"/>
      <c r="S146" s="55"/>
      <c r="T146" s="58"/>
      <c r="U146" s="57"/>
      <c r="V146" s="58"/>
      <c r="W146" s="59"/>
      <c r="X146" s="60"/>
      <c r="Y146" s="61"/>
      <c r="Z146" s="49"/>
      <c r="AA146" s="49"/>
      <c r="AB146" s="49"/>
      <c r="AC146" s="49"/>
      <c r="AD146" s="38"/>
      <c r="AE146" s="39"/>
      <c r="AF146" s="40"/>
      <c r="AG146" s="41"/>
      <c r="AH146" s="38"/>
      <c r="AI146" s="39"/>
      <c r="AJ146" s="42"/>
      <c r="AK146" s="41"/>
    </row>
    <row r="147" spans="1:37" ht="14.25" customHeight="1" x14ac:dyDescent="0.25">
      <c r="A147" s="202" t="s">
        <v>127</v>
      </c>
      <c r="B147" s="62"/>
      <c r="C147" s="96" t="s">
        <v>110</v>
      </c>
      <c r="D147" s="63"/>
      <c r="E147" s="64"/>
      <c r="F147" s="156">
        <f>F148+F149+F150</f>
        <v>70</v>
      </c>
      <c r="G147" s="150">
        <f>G148+G149+G150</f>
        <v>27.200000000000003</v>
      </c>
      <c r="H147" s="152">
        <f>0.9955+0.181+0.215</f>
        <v>1.3915000000000002</v>
      </c>
      <c r="I147" s="152">
        <f>0.9955+0.181+0.215</f>
        <v>1.3915000000000002</v>
      </c>
      <c r="J147" s="152">
        <f>G147+I147</f>
        <v>28.591500000000003</v>
      </c>
      <c r="K147" s="153">
        <v>37.430999999999997</v>
      </c>
      <c r="L147" s="154">
        <v>9.952</v>
      </c>
      <c r="M147" s="68">
        <f>K147+L147</f>
        <v>47.382999999999996</v>
      </c>
      <c r="N147" s="70"/>
      <c r="O147" s="71"/>
      <c r="P147" s="71"/>
      <c r="Q147" s="72"/>
      <c r="R147" s="73"/>
      <c r="S147" s="144"/>
      <c r="T147" s="425" t="s">
        <v>40</v>
      </c>
      <c r="U147" s="425" t="s">
        <v>128</v>
      </c>
      <c r="V147" s="428"/>
      <c r="W147" s="112">
        <v>55.539170900000002</v>
      </c>
      <c r="X147" s="113">
        <v>101.06245989999999</v>
      </c>
      <c r="Y147" s="425"/>
      <c r="AD147" s="38"/>
      <c r="AE147" s="39">
        <v>1</v>
      </c>
      <c r="AF147" s="40"/>
      <c r="AG147" s="41"/>
      <c r="AH147" s="38"/>
      <c r="AI147" s="39">
        <f>F147</f>
        <v>70</v>
      </c>
      <c r="AJ147" s="42"/>
      <c r="AK147" s="41"/>
    </row>
    <row r="148" spans="1:37" x14ac:dyDescent="0.2">
      <c r="A148" s="149" t="s">
        <v>10</v>
      </c>
      <c r="B148" s="62"/>
      <c r="C148" s="63"/>
      <c r="D148" s="63"/>
      <c r="E148" s="64"/>
      <c r="F148" s="156">
        <v>25</v>
      </c>
      <c r="G148" s="193">
        <v>16.600000000000001</v>
      </c>
      <c r="H148" s="79"/>
      <c r="I148" s="79"/>
      <c r="J148" s="79"/>
      <c r="K148" s="79"/>
      <c r="L148" s="80"/>
      <c r="M148" s="81"/>
      <c r="N148" s="114">
        <f>J147</f>
        <v>28.591500000000003</v>
      </c>
      <c r="O148" s="115">
        <f>N148/(F148+F149)*100</f>
        <v>63.536666666666676</v>
      </c>
      <c r="P148" s="116">
        <f>IF(G147&gt;((F148+F149)*1.05),0,((F148+F149)*1.05)-G147)</f>
        <v>20.049999999999997</v>
      </c>
      <c r="Q148" s="116">
        <f>IF(N148&gt;((F148+F149)*1.05),0,((F148+F149)*1.05)-N148)</f>
        <v>18.658499999999997</v>
      </c>
      <c r="R148" s="116">
        <f>IF(N148&gt;((F148+F149)*1.05),0,((F148+F149)*1.05)-N148)</f>
        <v>18.658499999999997</v>
      </c>
      <c r="S148" s="116">
        <f>R148</f>
        <v>18.658499999999997</v>
      </c>
      <c r="T148" s="426"/>
      <c r="U148" s="426"/>
      <c r="V148" s="429"/>
      <c r="W148" s="117"/>
      <c r="X148" s="118"/>
      <c r="Y148" s="426"/>
      <c r="AD148" s="38"/>
      <c r="AE148" s="39"/>
      <c r="AF148" s="40"/>
      <c r="AG148" s="41"/>
      <c r="AH148" s="38"/>
      <c r="AI148" s="39"/>
      <c r="AJ148" s="42"/>
      <c r="AK148" s="41"/>
    </row>
    <row r="149" spans="1:37" x14ac:dyDescent="0.2">
      <c r="A149" s="149" t="s">
        <v>7</v>
      </c>
      <c r="B149" s="62"/>
      <c r="C149" s="63"/>
      <c r="D149" s="63"/>
      <c r="E149" s="64"/>
      <c r="F149" s="156">
        <v>20</v>
      </c>
      <c r="G149" s="193">
        <v>10.6</v>
      </c>
      <c r="H149" s="120"/>
      <c r="I149" s="120"/>
      <c r="J149" s="120"/>
      <c r="K149" s="6"/>
      <c r="L149" s="6"/>
      <c r="M149" s="121"/>
      <c r="N149" s="114">
        <f>J147</f>
        <v>28.591500000000003</v>
      </c>
      <c r="O149" s="115">
        <f>N149/(F148+F150)*100</f>
        <v>57.183000000000007</v>
      </c>
      <c r="P149" s="116">
        <f>IF(G147&gt;((F148+F150)*1.05),0,((F148+F150)*1.05)-G147)</f>
        <v>25.299999999999997</v>
      </c>
      <c r="Q149" s="116">
        <f>IF(N149&gt;((F148+F150)*1.05),0,((F148+F150)*1.05)-N149)</f>
        <v>23.908499999999997</v>
      </c>
      <c r="R149" s="116">
        <f>IF(N149&gt;((F148+F150)*1.05),0,((F148+F150)*1.05)-N149)</f>
        <v>23.908499999999997</v>
      </c>
      <c r="S149" s="116">
        <f>R149</f>
        <v>23.908499999999997</v>
      </c>
      <c r="T149" s="426"/>
      <c r="U149" s="426"/>
      <c r="V149" s="429"/>
      <c r="W149" s="117"/>
      <c r="X149" s="118"/>
      <c r="Y149" s="426"/>
      <c r="AD149" s="38"/>
      <c r="AE149" s="39"/>
      <c r="AF149" s="40"/>
      <c r="AG149" s="41"/>
      <c r="AH149" s="38"/>
      <c r="AI149" s="39"/>
      <c r="AJ149" s="42"/>
      <c r="AK149" s="41"/>
    </row>
    <row r="150" spans="1:37" x14ac:dyDescent="0.2">
      <c r="A150" s="149" t="s">
        <v>50</v>
      </c>
      <c r="B150" s="62"/>
      <c r="C150" s="63"/>
      <c r="D150" s="63"/>
      <c r="E150" s="64"/>
      <c r="F150" s="156">
        <v>25</v>
      </c>
      <c r="G150" s="193">
        <v>0</v>
      </c>
      <c r="H150" s="89"/>
      <c r="I150" s="89"/>
      <c r="J150" s="89"/>
      <c r="K150" s="90"/>
      <c r="L150" s="90"/>
      <c r="M150" s="90"/>
      <c r="N150" s="91"/>
      <c r="O150" s="92"/>
      <c r="P150" s="92"/>
      <c r="Q150" s="72"/>
      <c r="R150" s="73"/>
      <c r="S150" s="144"/>
      <c r="T150" s="427"/>
      <c r="U150" s="427"/>
      <c r="V150" s="430"/>
      <c r="W150" s="122"/>
      <c r="X150" s="123"/>
      <c r="Y150" s="427"/>
      <c r="AD150" s="38"/>
      <c r="AE150" s="39"/>
      <c r="AF150" s="40"/>
      <c r="AG150" s="41"/>
      <c r="AH150" s="38"/>
      <c r="AI150" s="39"/>
      <c r="AJ150" s="42"/>
      <c r="AK150" s="41"/>
    </row>
    <row r="151" spans="1:37" s="341" customFormat="1" x14ac:dyDescent="0.2">
      <c r="A151" s="125" t="s">
        <v>53</v>
      </c>
      <c r="B151" s="126" t="s">
        <v>38</v>
      </c>
      <c r="C151" s="126" t="s">
        <v>38</v>
      </c>
      <c r="D151" s="126" t="s">
        <v>38</v>
      </c>
      <c r="E151" s="126" t="s">
        <v>38</v>
      </c>
      <c r="F151" s="127"/>
      <c r="G151" s="127"/>
      <c r="H151" s="279" t="s">
        <v>129</v>
      </c>
      <c r="I151" s="129" t="s">
        <v>38</v>
      </c>
      <c r="J151" s="128"/>
      <c r="K151" s="128"/>
      <c r="L151" s="128"/>
      <c r="M151" s="128"/>
      <c r="N151" s="128"/>
      <c r="O151" s="130"/>
      <c r="P151" s="130"/>
      <c r="Q151" s="131"/>
      <c r="R151" s="131"/>
      <c r="S151" s="131"/>
      <c r="T151" s="134"/>
      <c r="U151" s="133"/>
      <c r="V151" s="134"/>
      <c r="W151" s="135"/>
      <c r="X151" s="136"/>
      <c r="Y151" s="61"/>
      <c r="Z151" s="49"/>
      <c r="AA151" s="49"/>
      <c r="AB151" s="49"/>
      <c r="AC151" s="49"/>
      <c r="AD151" s="38"/>
      <c r="AE151" s="39"/>
      <c r="AF151" s="40"/>
      <c r="AG151" s="41"/>
      <c r="AH151" s="38"/>
      <c r="AI151" s="39"/>
      <c r="AJ151" s="42"/>
      <c r="AK151" s="41"/>
    </row>
    <row r="152" spans="1:37" ht="14.25" customHeight="1" x14ac:dyDescent="0.25">
      <c r="A152" s="149" t="s">
        <v>130</v>
      </c>
      <c r="B152" s="137"/>
      <c r="C152" s="138"/>
      <c r="D152" s="138"/>
      <c r="E152" s="139" t="s">
        <v>60</v>
      </c>
      <c r="F152" s="285">
        <f>F153+F154</f>
        <v>8</v>
      </c>
      <c r="G152" s="150">
        <f>G153+G154</f>
        <v>1.5</v>
      </c>
      <c r="H152" s="286">
        <f>0.305+0.01+0.03</f>
        <v>0.34499999999999997</v>
      </c>
      <c r="I152" s="286">
        <f>0.305+0.01+0.03</f>
        <v>0.34499999999999997</v>
      </c>
      <c r="J152" s="331">
        <f>G152+I152</f>
        <v>1.845</v>
      </c>
      <c r="K152" s="153">
        <v>1.8939999999999999</v>
      </c>
      <c r="L152" s="154">
        <v>0</v>
      </c>
      <c r="M152" s="68">
        <f>K152+L152</f>
        <v>1.8939999999999999</v>
      </c>
      <c r="N152" s="70"/>
      <c r="O152" s="71"/>
      <c r="P152" s="71"/>
      <c r="Q152" s="72"/>
      <c r="R152" s="73"/>
      <c r="S152" s="144"/>
      <c r="T152" s="425" t="s">
        <v>40</v>
      </c>
      <c r="U152" s="425" t="s">
        <v>131</v>
      </c>
      <c r="V152" s="425"/>
      <c r="W152" s="74">
        <v>55.428330000000003</v>
      </c>
      <c r="X152" s="75">
        <v>100.91889</v>
      </c>
      <c r="Y152" s="425"/>
      <c r="AD152" s="38"/>
      <c r="AE152" s="39"/>
      <c r="AF152" s="40"/>
      <c r="AG152" s="41">
        <v>1</v>
      </c>
      <c r="AH152" s="38"/>
      <c r="AI152" s="39"/>
      <c r="AJ152" s="42"/>
      <c r="AK152" s="41">
        <f>F152</f>
        <v>8</v>
      </c>
    </row>
    <row r="153" spans="1:37" x14ac:dyDescent="0.2">
      <c r="A153" s="149" t="s">
        <v>10</v>
      </c>
      <c r="B153" s="62"/>
      <c r="C153" s="63"/>
      <c r="D153" s="63"/>
      <c r="E153" s="64"/>
      <c r="F153" s="156">
        <v>4</v>
      </c>
      <c r="G153" s="99">
        <v>0</v>
      </c>
      <c r="H153" s="283"/>
      <c r="I153" s="78"/>
      <c r="J153" s="79"/>
      <c r="K153" s="79"/>
      <c r="L153" s="80"/>
      <c r="M153" s="81"/>
      <c r="N153" s="82">
        <f>J152</f>
        <v>1.845</v>
      </c>
      <c r="O153" s="83">
        <f>N153/F153*100</f>
        <v>46.125</v>
      </c>
      <c r="P153" s="336">
        <f>IF(G152&gt;(F153*1.05),0,(F153*1.05)-G152)</f>
        <v>2.7</v>
      </c>
      <c r="Q153" s="336">
        <f>IF(N153&gt;(F153*1.05),0,(F153*1.05)-N153)</f>
        <v>2.3550000000000004</v>
      </c>
      <c r="R153" s="338">
        <f>IF(N153&gt;(1.05*F153),0,(F153*1.05)-N153)</f>
        <v>2.3550000000000004</v>
      </c>
      <c r="S153" s="144">
        <f>R153</f>
        <v>2.3550000000000004</v>
      </c>
      <c r="T153" s="426"/>
      <c r="U153" s="426"/>
      <c r="V153" s="426"/>
      <c r="W153" s="84"/>
      <c r="X153" s="85"/>
      <c r="Y153" s="426"/>
      <c r="AD153" s="38"/>
      <c r="AE153" s="39"/>
      <c r="AF153" s="40"/>
      <c r="AG153" s="41"/>
      <c r="AH153" s="38"/>
      <c r="AI153" s="39"/>
      <c r="AJ153" s="42"/>
      <c r="AK153" s="41"/>
    </row>
    <row r="154" spans="1:37" x14ac:dyDescent="0.2">
      <c r="A154" s="149" t="s">
        <v>7</v>
      </c>
      <c r="B154" s="62"/>
      <c r="C154" s="63"/>
      <c r="D154" s="63"/>
      <c r="E154" s="64"/>
      <c r="F154" s="156">
        <v>4</v>
      </c>
      <c r="G154" s="193">
        <v>1.5</v>
      </c>
      <c r="H154" s="287"/>
      <c r="I154" s="88"/>
      <c r="J154" s="89"/>
      <c r="K154" s="90"/>
      <c r="L154" s="90"/>
      <c r="M154" s="90"/>
      <c r="N154" s="91"/>
      <c r="O154" s="92"/>
      <c r="P154" s="92"/>
      <c r="Q154" s="72"/>
      <c r="R154" s="73"/>
      <c r="S154" s="144"/>
      <c r="T154" s="427"/>
      <c r="U154" s="427"/>
      <c r="V154" s="427"/>
      <c r="W154" s="93"/>
      <c r="X154" s="94"/>
      <c r="Y154" s="427"/>
      <c r="AD154" s="38"/>
      <c r="AE154" s="39"/>
      <c r="AF154" s="40"/>
      <c r="AG154" s="41"/>
      <c r="AH154" s="38"/>
      <c r="AI154" s="39"/>
      <c r="AJ154" s="42"/>
      <c r="AK154" s="41"/>
    </row>
    <row r="155" spans="1:37" s="341" customFormat="1" x14ac:dyDescent="0.2">
      <c r="A155" s="125" t="s">
        <v>53</v>
      </c>
      <c r="B155" s="126" t="s">
        <v>38</v>
      </c>
      <c r="C155" s="126" t="s">
        <v>38</v>
      </c>
      <c r="D155" s="126" t="s">
        <v>38</v>
      </c>
      <c r="E155" s="126" t="s">
        <v>38</v>
      </c>
      <c r="F155" s="127"/>
      <c r="G155" s="127"/>
      <c r="H155" s="279" t="s">
        <v>129</v>
      </c>
      <c r="I155" s="129" t="s">
        <v>38</v>
      </c>
      <c r="J155" s="128"/>
      <c r="K155" s="128"/>
      <c r="L155" s="128"/>
      <c r="M155" s="128"/>
      <c r="N155" s="128"/>
      <c r="O155" s="130"/>
      <c r="P155" s="130"/>
      <c r="Q155" s="131"/>
      <c r="R155" s="131"/>
      <c r="S155" s="131"/>
      <c r="T155" s="134"/>
      <c r="U155" s="133"/>
      <c r="V155" s="134"/>
      <c r="W155" s="135"/>
      <c r="X155" s="136"/>
      <c r="Y155" s="61"/>
      <c r="Z155" s="49"/>
      <c r="AA155" s="49"/>
      <c r="AB155" s="49"/>
      <c r="AC155" s="49"/>
      <c r="AD155" s="38"/>
      <c r="AE155" s="39"/>
      <c r="AF155" s="40"/>
      <c r="AG155" s="41"/>
      <c r="AH155" s="38"/>
      <c r="AI155" s="39"/>
      <c r="AJ155" s="42"/>
      <c r="AK155" s="41"/>
    </row>
    <row r="156" spans="1:37" ht="12.75" customHeight="1" x14ac:dyDescent="0.25">
      <c r="A156" s="149" t="s">
        <v>132</v>
      </c>
      <c r="B156" s="137"/>
      <c r="C156" s="138"/>
      <c r="D156" s="138"/>
      <c r="E156" s="139" t="s">
        <v>60</v>
      </c>
      <c r="F156" s="285">
        <f>F157+F158</f>
        <v>4.0999999999999996</v>
      </c>
      <c r="G156" s="150">
        <f>G157+G158</f>
        <v>1.6</v>
      </c>
      <c r="H156" s="286">
        <f>0.134+0.29</f>
        <v>0.42399999999999999</v>
      </c>
      <c r="I156" s="286">
        <f>0.134+0.29</f>
        <v>0.42399999999999999</v>
      </c>
      <c r="J156" s="331">
        <f>G156+I156</f>
        <v>2.024</v>
      </c>
      <c r="K156" s="153">
        <v>1.921</v>
      </c>
      <c r="L156" s="154">
        <v>0</v>
      </c>
      <c r="M156" s="68">
        <f>K156+L156</f>
        <v>1.921</v>
      </c>
      <c r="N156" s="70"/>
      <c r="O156" s="71"/>
      <c r="P156" s="71"/>
      <c r="Q156" s="72"/>
      <c r="R156" s="73"/>
      <c r="S156" s="144"/>
      <c r="T156" s="425" t="s">
        <v>40</v>
      </c>
      <c r="U156" s="425" t="s">
        <v>133</v>
      </c>
      <c r="V156" s="425"/>
      <c r="W156" s="74">
        <v>55.747500000000002</v>
      </c>
      <c r="X156" s="75">
        <v>101.73333</v>
      </c>
      <c r="Y156" s="425"/>
      <c r="AD156" s="38"/>
      <c r="AE156" s="39"/>
      <c r="AF156" s="40"/>
      <c r="AG156" s="41">
        <v>1</v>
      </c>
      <c r="AH156" s="38"/>
      <c r="AI156" s="39"/>
      <c r="AJ156" s="42"/>
      <c r="AK156" s="41">
        <f>F156</f>
        <v>4.0999999999999996</v>
      </c>
    </row>
    <row r="157" spans="1:37" x14ac:dyDescent="0.25">
      <c r="A157" s="149" t="s">
        <v>10</v>
      </c>
      <c r="B157" s="62"/>
      <c r="C157" s="63"/>
      <c r="D157" s="63"/>
      <c r="E157" s="64"/>
      <c r="F157" s="156">
        <v>2.5</v>
      </c>
      <c r="G157" s="270">
        <v>1</v>
      </c>
      <c r="H157" s="283"/>
      <c r="I157" s="78"/>
      <c r="J157" s="79"/>
      <c r="K157" s="79"/>
      <c r="L157" s="80"/>
      <c r="M157" s="81"/>
      <c r="N157" s="82">
        <f>J156</f>
        <v>2.024</v>
      </c>
      <c r="O157" s="83">
        <f>N157/F157*100</f>
        <v>80.959999999999994</v>
      </c>
      <c r="P157" s="336">
        <f>IF(G156&gt;(F157*1.05),0,(F157*1.05)-G156)</f>
        <v>1.0249999999999999</v>
      </c>
      <c r="Q157" s="336">
        <f>IF(N157&gt;(F157*1.05),0,(F157*1.05)-N157)</f>
        <v>0.60099999999999998</v>
      </c>
      <c r="R157" s="338">
        <f>IF(N157&gt;(1.05*F157),0,(F157*1.05)-N157)</f>
        <v>0.60099999999999998</v>
      </c>
      <c r="S157" s="144">
        <f>R157</f>
        <v>0.60099999999999998</v>
      </c>
      <c r="T157" s="426"/>
      <c r="U157" s="426"/>
      <c r="V157" s="426"/>
      <c r="W157" s="84"/>
      <c r="X157" s="85"/>
      <c r="Y157" s="426"/>
      <c r="AD157" s="38"/>
      <c r="AE157" s="39"/>
      <c r="AF157" s="40"/>
      <c r="AG157" s="41"/>
      <c r="AH157" s="38"/>
      <c r="AI157" s="39"/>
      <c r="AJ157" s="42"/>
      <c r="AK157" s="41"/>
    </row>
    <row r="158" spans="1:37" x14ac:dyDescent="0.25">
      <c r="A158" s="149" t="s">
        <v>7</v>
      </c>
      <c r="B158" s="62"/>
      <c r="C158" s="63"/>
      <c r="D158" s="63"/>
      <c r="E158" s="64"/>
      <c r="F158" s="156">
        <v>1.6</v>
      </c>
      <c r="G158" s="270">
        <v>0.6</v>
      </c>
      <c r="H158" s="287"/>
      <c r="I158" s="88"/>
      <c r="J158" s="89"/>
      <c r="K158" s="90"/>
      <c r="L158" s="90"/>
      <c r="M158" s="90"/>
      <c r="N158" s="91"/>
      <c r="O158" s="92"/>
      <c r="P158" s="92"/>
      <c r="Q158" s="72"/>
      <c r="R158" s="73"/>
      <c r="S158" s="144"/>
      <c r="T158" s="427"/>
      <c r="U158" s="427"/>
      <c r="V158" s="427"/>
      <c r="W158" s="93"/>
      <c r="X158" s="94"/>
      <c r="Y158" s="427"/>
      <c r="AD158" s="38"/>
      <c r="AE158" s="39"/>
      <c r="AF158" s="40"/>
      <c r="AG158" s="41"/>
      <c r="AH158" s="38"/>
      <c r="AI158" s="39"/>
      <c r="AJ158" s="42"/>
      <c r="AK158" s="41"/>
    </row>
    <row r="159" spans="1:37" s="341" customFormat="1" x14ac:dyDescent="0.2">
      <c r="A159" s="125" t="s">
        <v>53</v>
      </c>
      <c r="B159" s="126" t="s">
        <v>38</v>
      </c>
      <c r="C159" s="126" t="s">
        <v>38</v>
      </c>
      <c r="D159" s="126" t="s">
        <v>38</v>
      </c>
      <c r="E159" s="126" t="s">
        <v>38</v>
      </c>
      <c r="F159" s="127"/>
      <c r="G159" s="127"/>
      <c r="H159" s="279" t="s">
        <v>129</v>
      </c>
      <c r="I159" s="129" t="s">
        <v>38</v>
      </c>
      <c r="J159" s="128"/>
      <c r="K159" s="128"/>
      <c r="L159" s="128"/>
      <c r="M159" s="128"/>
      <c r="N159" s="128"/>
      <c r="O159" s="130"/>
      <c r="P159" s="130"/>
      <c r="Q159" s="131"/>
      <c r="R159" s="131"/>
      <c r="S159" s="131"/>
      <c r="T159" s="134"/>
      <c r="U159" s="133"/>
      <c r="V159" s="134"/>
      <c r="W159" s="135"/>
      <c r="X159" s="136"/>
      <c r="Y159" s="61"/>
      <c r="Z159" s="49"/>
      <c r="AA159" s="49"/>
      <c r="AB159" s="49"/>
      <c r="AC159" s="49"/>
      <c r="AD159" s="38"/>
      <c r="AE159" s="39"/>
      <c r="AF159" s="40"/>
      <c r="AG159" s="41"/>
      <c r="AH159" s="38"/>
      <c r="AI159" s="39"/>
      <c r="AJ159" s="42"/>
      <c r="AK159" s="41"/>
    </row>
    <row r="160" spans="1:37" ht="14.25" customHeight="1" x14ac:dyDescent="0.25">
      <c r="A160" s="149" t="s">
        <v>134</v>
      </c>
      <c r="B160" s="137"/>
      <c r="C160" s="138"/>
      <c r="D160" s="138"/>
      <c r="E160" s="139" t="s">
        <v>60</v>
      </c>
      <c r="F160" s="285">
        <f>F161</f>
        <v>1.6</v>
      </c>
      <c r="G160" s="150">
        <f>G161</f>
        <v>0.7</v>
      </c>
      <c r="H160" s="286">
        <v>0</v>
      </c>
      <c r="I160" s="151">
        <v>0</v>
      </c>
      <c r="J160" s="152">
        <f>G160+I160</f>
        <v>0.7</v>
      </c>
      <c r="K160" s="153">
        <v>0</v>
      </c>
      <c r="L160" s="154">
        <v>0.8</v>
      </c>
      <c r="M160" s="68">
        <f>K160+L160</f>
        <v>0.8</v>
      </c>
      <c r="N160" s="70"/>
      <c r="O160" s="71"/>
      <c r="P160" s="71"/>
      <c r="Q160" s="72"/>
      <c r="R160" s="73"/>
      <c r="S160" s="144"/>
      <c r="T160" s="421" t="s">
        <v>40</v>
      </c>
      <c r="U160" s="421" t="s">
        <v>135</v>
      </c>
      <c r="V160" s="421"/>
      <c r="W160" s="140">
        <v>55.335560000000001</v>
      </c>
      <c r="X160" s="141">
        <v>101.15</v>
      </c>
      <c r="Y160" s="423"/>
      <c r="AD160" s="38"/>
      <c r="AE160" s="39"/>
      <c r="AF160" s="40"/>
      <c r="AG160" s="41">
        <v>1</v>
      </c>
      <c r="AH160" s="38"/>
      <c r="AI160" s="39"/>
      <c r="AJ160" s="42"/>
      <c r="AK160" s="41">
        <f>F160</f>
        <v>1.6</v>
      </c>
    </row>
    <row r="161" spans="1:37" x14ac:dyDescent="0.25">
      <c r="A161" s="149" t="s">
        <v>10</v>
      </c>
      <c r="B161" s="62"/>
      <c r="C161" s="63"/>
      <c r="D161" s="63"/>
      <c r="E161" s="64"/>
      <c r="F161" s="156">
        <v>1.6</v>
      </c>
      <c r="G161" s="270">
        <v>0.7</v>
      </c>
      <c r="H161" s="283"/>
      <c r="I161" s="78"/>
      <c r="J161" s="79"/>
      <c r="K161" s="79"/>
      <c r="L161" s="80"/>
      <c r="M161" s="81"/>
      <c r="N161" s="82">
        <f>J160</f>
        <v>0.7</v>
      </c>
      <c r="O161" s="83">
        <f>N161/F161*100</f>
        <v>43.749999999999993</v>
      </c>
      <c r="P161" s="336">
        <f>IF(G160&gt;(F161*1.05),0,(F161*1.05)-G160)</f>
        <v>0.9800000000000002</v>
      </c>
      <c r="Q161" s="336">
        <f>IF(N161&gt;(F161*1.05),0,(F161*1.05)-N161)</f>
        <v>0.9800000000000002</v>
      </c>
      <c r="R161" s="338">
        <f>IF(N161&gt;(1.05*F161),0,(F161*1.05)-N161)</f>
        <v>0.9800000000000002</v>
      </c>
      <c r="S161" s="144">
        <f>R161</f>
        <v>0.9800000000000002</v>
      </c>
      <c r="T161" s="422"/>
      <c r="U161" s="422"/>
      <c r="V161" s="422"/>
      <c r="W161" s="142"/>
      <c r="X161" s="143"/>
      <c r="Y161" s="424"/>
      <c r="AD161" s="38"/>
      <c r="AE161" s="39"/>
      <c r="AF161" s="40"/>
      <c r="AG161" s="41"/>
      <c r="AH161" s="38"/>
      <c r="AI161" s="39"/>
      <c r="AJ161" s="42"/>
      <c r="AK161" s="41"/>
    </row>
    <row r="162" spans="1:37" s="341" customFormat="1" x14ac:dyDescent="0.2">
      <c r="A162" s="125" t="s">
        <v>53</v>
      </c>
      <c r="B162" s="126" t="s">
        <v>38</v>
      </c>
      <c r="C162" s="126" t="s">
        <v>38</v>
      </c>
      <c r="D162" s="126" t="s">
        <v>38</v>
      </c>
      <c r="E162" s="126" t="s">
        <v>38</v>
      </c>
      <c r="F162" s="127"/>
      <c r="G162" s="127"/>
      <c r="H162" s="279" t="s">
        <v>129</v>
      </c>
      <c r="I162" s="129" t="s">
        <v>38</v>
      </c>
      <c r="J162" s="128"/>
      <c r="K162" s="128"/>
      <c r="L162" s="128"/>
      <c r="M162" s="128"/>
      <c r="N162" s="128"/>
      <c r="O162" s="130"/>
      <c r="P162" s="130"/>
      <c r="Q162" s="131"/>
      <c r="R162" s="131"/>
      <c r="S162" s="131"/>
      <c r="T162" s="134"/>
      <c r="U162" s="133"/>
      <c r="V162" s="134"/>
      <c r="W162" s="135"/>
      <c r="X162" s="136"/>
      <c r="Y162" s="61"/>
      <c r="Z162" s="49"/>
      <c r="AA162" s="49"/>
      <c r="AB162" s="49"/>
      <c r="AC162" s="49"/>
      <c r="AD162" s="38"/>
      <c r="AE162" s="39"/>
      <c r="AF162" s="40"/>
      <c r="AG162" s="41"/>
      <c r="AH162" s="38"/>
      <c r="AI162" s="39"/>
      <c r="AJ162" s="42"/>
      <c r="AK162" s="41"/>
    </row>
    <row r="163" spans="1:37" ht="12.75" customHeight="1" x14ac:dyDescent="0.25">
      <c r="A163" s="149" t="s">
        <v>136</v>
      </c>
      <c r="B163" s="137"/>
      <c r="C163" s="138"/>
      <c r="D163" s="138"/>
      <c r="E163" s="139" t="s">
        <v>60</v>
      </c>
      <c r="F163" s="285">
        <f>F164+F165</f>
        <v>12.6</v>
      </c>
      <c r="G163" s="150">
        <f>G164+G165</f>
        <v>2.2000000000000002</v>
      </c>
      <c r="H163" s="286">
        <f>0.21875+0.035+0.01</f>
        <v>0.26375000000000004</v>
      </c>
      <c r="I163" s="286">
        <f>0.21875+0.035+0.01</f>
        <v>0.26375000000000004</v>
      </c>
      <c r="J163" s="152">
        <f>G163+I163</f>
        <v>2.4637500000000001</v>
      </c>
      <c r="K163" s="153">
        <v>9.891</v>
      </c>
      <c r="L163" s="154">
        <v>2</v>
      </c>
      <c r="M163" s="68">
        <f>K163+L163</f>
        <v>11.891</v>
      </c>
      <c r="N163" s="70"/>
      <c r="O163" s="71"/>
      <c r="P163" s="71"/>
      <c r="Q163" s="72"/>
      <c r="R163" s="73"/>
      <c r="S163" s="144"/>
      <c r="T163" s="425" t="s">
        <v>40</v>
      </c>
      <c r="U163" s="425" t="s">
        <v>137</v>
      </c>
      <c r="V163" s="425"/>
      <c r="W163" s="74">
        <v>55.672220000000003</v>
      </c>
      <c r="X163" s="75">
        <v>101.74361</v>
      </c>
      <c r="Y163" s="425"/>
      <c r="AD163" s="38"/>
      <c r="AE163" s="39"/>
      <c r="AF163" s="40"/>
      <c r="AG163" s="41">
        <v>1</v>
      </c>
      <c r="AH163" s="38"/>
      <c r="AI163" s="39"/>
      <c r="AJ163" s="42"/>
      <c r="AK163" s="41">
        <f>F163</f>
        <v>12.6</v>
      </c>
    </row>
    <row r="164" spans="1:37" x14ac:dyDescent="0.2">
      <c r="A164" s="149" t="s">
        <v>10</v>
      </c>
      <c r="B164" s="62"/>
      <c r="C164" s="63"/>
      <c r="D164" s="63"/>
      <c r="E164" s="64"/>
      <c r="F164" s="156">
        <v>6.3</v>
      </c>
      <c r="G164" s="193">
        <v>0.8</v>
      </c>
      <c r="H164" s="283"/>
      <c r="I164" s="78"/>
      <c r="J164" s="79"/>
      <c r="K164" s="79"/>
      <c r="L164" s="80"/>
      <c r="M164" s="81"/>
      <c r="N164" s="82">
        <f>J163</f>
        <v>2.4637500000000001</v>
      </c>
      <c r="O164" s="83">
        <f>N164/F164*100</f>
        <v>39.107142857142861</v>
      </c>
      <c r="P164" s="336">
        <f>IF(G163&gt;(F164*1.05),0,(F164*1.05)-G163)</f>
        <v>4.415</v>
      </c>
      <c r="Q164" s="336">
        <f>IF(N164&gt;(F164*1.05),0,(F164*1.05)-N164)</f>
        <v>4.1512500000000001</v>
      </c>
      <c r="R164" s="338">
        <f>IF(N164&gt;(1.05*F164),0,(F164*1.05)-N164)</f>
        <v>4.1512500000000001</v>
      </c>
      <c r="S164" s="144">
        <f>R164</f>
        <v>4.1512500000000001</v>
      </c>
      <c r="T164" s="426"/>
      <c r="U164" s="426"/>
      <c r="V164" s="426"/>
      <c r="W164" s="84"/>
      <c r="X164" s="85"/>
      <c r="Y164" s="426"/>
      <c r="AD164" s="38"/>
      <c r="AE164" s="39"/>
      <c r="AF164" s="40"/>
      <c r="AG164" s="41"/>
      <c r="AH164" s="38"/>
      <c r="AI164" s="39"/>
      <c r="AJ164" s="42"/>
      <c r="AK164" s="41"/>
    </row>
    <row r="165" spans="1:37" x14ac:dyDescent="0.2">
      <c r="A165" s="149" t="s">
        <v>7</v>
      </c>
      <c r="B165" s="62"/>
      <c r="C165" s="63"/>
      <c r="D165" s="63"/>
      <c r="E165" s="64"/>
      <c r="F165" s="156">
        <v>6.3</v>
      </c>
      <c r="G165" s="193">
        <v>1.4</v>
      </c>
      <c r="H165" s="287"/>
      <c r="I165" s="88"/>
      <c r="J165" s="89"/>
      <c r="K165" s="90"/>
      <c r="L165" s="90"/>
      <c r="M165" s="90"/>
      <c r="N165" s="91"/>
      <c r="O165" s="92"/>
      <c r="P165" s="92"/>
      <c r="Q165" s="72"/>
      <c r="R165" s="73"/>
      <c r="S165" s="144"/>
      <c r="T165" s="427"/>
      <c r="U165" s="427"/>
      <c r="V165" s="427"/>
      <c r="W165" s="93"/>
      <c r="X165" s="94"/>
      <c r="Y165" s="427"/>
      <c r="AD165" s="38"/>
      <c r="AE165" s="39"/>
      <c r="AF165" s="40"/>
      <c r="AG165" s="41"/>
      <c r="AH165" s="38"/>
      <c r="AI165" s="39"/>
      <c r="AJ165" s="42"/>
      <c r="AK165" s="41"/>
    </row>
    <row r="166" spans="1:37" s="341" customFormat="1" x14ac:dyDescent="0.2">
      <c r="A166" s="125" t="s">
        <v>53</v>
      </c>
      <c r="B166" s="126" t="s">
        <v>38</v>
      </c>
      <c r="C166" s="126" t="s">
        <v>38</v>
      </c>
      <c r="D166" s="126" t="s">
        <v>38</v>
      </c>
      <c r="E166" s="126" t="s">
        <v>38</v>
      </c>
      <c r="F166" s="127"/>
      <c r="G166" s="127"/>
      <c r="H166" s="279" t="s">
        <v>129</v>
      </c>
      <c r="I166" s="129" t="s">
        <v>38</v>
      </c>
      <c r="J166" s="128"/>
      <c r="K166" s="128"/>
      <c r="L166" s="128"/>
      <c r="M166" s="128"/>
      <c r="N166" s="128"/>
      <c r="O166" s="130"/>
      <c r="P166" s="130"/>
      <c r="Q166" s="131"/>
      <c r="R166" s="131"/>
      <c r="S166" s="131"/>
      <c r="T166" s="134"/>
      <c r="U166" s="133"/>
      <c r="V166" s="134"/>
      <c r="W166" s="135"/>
      <c r="X166" s="136"/>
      <c r="Y166" s="61"/>
      <c r="Z166" s="49"/>
      <c r="AA166" s="49"/>
      <c r="AB166" s="49"/>
      <c r="AC166" s="49"/>
      <c r="AD166" s="38"/>
      <c r="AE166" s="39"/>
      <c r="AF166" s="40"/>
      <c r="AG166" s="41"/>
      <c r="AH166" s="38"/>
      <c r="AI166" s="39"/>
      <c r="AJ166" s="42"/>
      <c r="AK166" s="41"/>
    </row>
    <row r="167" spans="1:37" ht="12.75" customHeight="1" x14ac:dyDescent="0.25">
      <c r="A167" s="149" t="s">
        <v>138</v>
      </c>
      <c r="B167" s="137"/>
      <c r="C167" s="138"/>
      <c r="D167" s="138"/>
      <c r="E167" s="139" t="s">
        <v>60</v>
      </c>
      <c r="F167" s="285">
        <f>F168+F169</f>
        <v>12.6</v>
      </c>
      <c r="G167" s="150">
        <f>G168+G169</f>
        <v>1.8</v>
      </c>
      <c r="H167" s="286">
        <f>0.129+0.01+0.025</f>
        <v>0.16400000000000001</v>
      </c>
      <c r="I167" s="286">
        <f>0.129+0.01+0.025</f>
        <v>0.16400000000000001</v>
      </c>
      <c r="J167" s="152">
        <f>G167+I167</f>
        <v>1.964</v>
      </c>
      <c r="K167" s="153">
        <v>4.4870000000000001</v>
      </c>
      <c r="L167" s="154">
        <v>2.6669999999999998</v>
      </c>
      <c r="M167" s="68">
        <f>K167+L167</f>
        <v>7.1539999999999999</v>
      </c>
      <c r="N167" s="70"/>
      <c r="O167" s="71"/>
      <c r="P167" s="71"/>
      <c r="Q167" s="72"/>
      <c r="R167" s="73"/>
      <c r="S167" s="144"/>
      <c r="T167" s="425" t="s">
        <v>40</v>
      </c>
      <c r="U167" s="425" t="s">
        <v>139</v>
      </c>
      <c r="V167" s="425"/>
      <c r="W167" s="74">
        <v>55.21472</v>
      </c>
      <c r="X167" s="75">
        <v>100.59193999999999</v>
      </c>
      <c r="Y167" s="425"/>
      <c r="AD167" s="38"/>
      <c r="AE167" s="39"/>
      <c r="AF167" s="40"/>
      <c r="AG167" s="41">
        <v>1</v>
      </c>
      <c r="AH167" s="38"/>
      <c r="AI167" s="39"/>
      <c r="AJ167" s="42"/>
      <c r="AK167" s="41">
        <f>F167</f>
        <v>12.6</v>
      </c>
    </row>
    <row r="168" spans="1:37" x14ac:dyDescent="0.2">
      <c r="A168" s="149" t="s">
        <v>10</v>
      </c>
      <c r="B168" s="62"/>
      <c r="C168" s="63"/>
      <c r="D168" s="63"/>
      <c r="E168" s="64"/>
      <c r="F168" s="156">
        <v>6.3</v>
      </c>
      <c r="G168" s="193">
        <v>0.5</v>
      </c>
      <c r="H168" s="283"/>
      <c r="I168" s="78"/>
      <c r="J168" s="79"/>
      <c r="K168" s="79"/>
      <c r="L168" s="80"/>
      <c r="M168" s="81"/>
      <c r="N168" s="82">
        <f>J167</f>
        <v>1.964</v>
      </c>
      <c r="O168" s="83">
        <f>N168/F168*100</f>
        <v>31.174603174603178</v>
      </c>
      <c r="P168" s="336">
        <f>IF(G167&gt;(F168*1.05),0,(F168*1.05)-G167)</f>
        <v>4.8150000000000004</v>
      </c>
      <c r="Q168" s="336">
        <f>IF(N168&gt;(F168*1.05),0,(F168*1.05)-N168)</f>
        <v>4.6509999999999998</v>
      </c>
      <c r="R168" s="338">
        <f>IF(N168&gt;(1.05*F168),0,(F168*1.05)-N168)</f>
        <v>4.6509999999999998</v>
      </c>
      <c r="S168" s="144">
        <f>R168</f>
        <v>4.6509999999999998</v>
      </c>
      <c r="T168" s="426"/>
      <c r="U168" s="426"/>
      <c r="V168" s="426"/>
      <c r="W168" s="84"/>
      <c r="X168" s="85"/>
      <c r="Y168" s="426"/>
      <c r="AD168" s="38"/>
      <c r="AE168" s="39"/>
      <c r="AF168" s="40"/>
      <c r="AG168" s="41"/>
      <c r="AH168" s="38"/>
      <c r="AI168" s="39"/>
      <c r="AJ168" s="42"/>
      <c r="AK168" s="41"/>
    </row>
    <row r="169" spans="1:37" x14ac:dyDescent="0.2">
      <c r="A169" s="149" t="s">
        <v>7</v>
      </c>
      <c r="B169" s="62"/>
      <c r="C169" s="63"/>
      <c r="D169" s="63"/>
      <c r="E169" s="64"/>
      <c r="F169" s="156">
        <v>6.3</v>
      </c>
      <c r="G169" s="193">
        <v>1.3</v>
      </c>
      <c r="H169" s="287"/>
      <c r="I169" s="88"/>
      <c r="J169" s="89"/>
      <c r="K169" s="90"/>
      <c r="L169" s="90"/>
      <c r="M169" s="90"/>
      <c r="N169" s="91"/>
      <c r="O169" s="92"/>
      <c r="P169" s="92"/>
      <c r="Q169" s="72"/>
      <c r="R169" s="73"/>
      <c r="S169" s="144"/>
      <c r="T169" s="427"/>
      <c r="U169" s="427"/>
      <c r="V169" s="427"/>
      <c r="W169" s="93"/>
      <c r="X169" s="94"/>
      <c r="Y169" s="427"/>
      <c r="AD169" s="38"/>
      <c r="AE169" s="39"/>
      <c r="AF169" s="40"/>
      <c r="AG169" s="41"/>
      <c r="AH169" s="38"/>
      <c r="AI169" s="39"/>
      <c r="AJ169" s="42"/>
      <c r="AK169" s="41"/>
    </row>
    <row r="170" spans="1:37" s="341" customFormat="1" x14ac:dyDescent="0.2">
      <c r="A170" s="125" t="s">
        <v>53</v>
      </c>
      <c r="B170" s="126" t="s">
        <v>38</v>
      </c>
      <c r="C170" s="126" t="s">
        <v>38</v>
      </c>
      <c r="D170" s="126" t="s">
        <v>38</v>
      </c>
      <c r="E170" s="126" t="s">
        <v>38</v>
      </c>
      <c r="F170" s="127"/>
      <c r="G170" s="127"/>
      <c r="H170" s="279" t="s">
        <v>129</v>
      </c>
      <c r="I170" s="129" t="s">
        <v>38</v>
      </c>
      <c r="J170" s="128"/>
      <c r="K170" s="128"/>
      <c r="L170" s="128"/>
      <c r="M170" s="128"/>
      <c r="N170" s="128"/>
      <c r="O170" s="130"/>
      <c r="P170" s="130"/>
      <c r="Q170" s="131"/>
      <c r="R170" s="131"/>
      <c r="S170" s="131"/>
      <c r="T170" s="134"/>
      <c r="U170" s="133"/>
      <c r="V170" s="134"/>
      <c r="W170" s="135"/>
      <c r="X170" s="136"/>
      <c r="Y170" s="61"/>
      <c r="Z170" s="49"/>
      <c r="AA170" s="49"/>
      <c r="AB170" s="49"/>
      <c r="AC170" s="49"/>
      <c r="AD170" s="38"/>
      <c r="AE170" s="39"/>
      <c r="AF170" s="40"/>
      <c r="AG170" s="41"/>
      <c r="AH170" s="38"/>
      <c r="AI170" s="39"/>
      <c r="AJ170" s="42"/>
      <c r="AK170" s="41"/>
    </row>
    <row r="171" spans="1:37" ht="14.25" customHeight="1" x14ac:dyDescent="0.25">
      <c r="A171" s="149" t="s">
        <v>140</v>
      </c>
      <c r="B171" s="137"/>
      <c r="C171" s="138"/>
      <c r="D171" s="138"/>
      <c r="E171" s="139" t="s">
        <v>60</v>
      </c>
      <c r="F171" s="285">
        <f>F172</f>
        <v>6.3</v>
      </c>
      <c r="G171" s="150">
        <f>G172</f>
        <v>1.6</v>
      </c>
      <c r="H171" s="286">
        <f>0.2642+0.035+0.055</f>
        <v>0.35420000000000001</v>
      </c>
      <c r="I171" s="286">
        <f>0.2642+0.035+0.055</f>
        <v>0.35420000000000001</v>
      </c>
      <c r="J171" s="152">
        <f>G171+I171</f>
        <v>1.9542000000000002</v>
      </c>
      <c r="K171" s="153">
        <v>2.1549999999999998</v>
      </c>
      <c r="L171" s="154">
        <v>0</v>
      </c>
      <c r="M171" s="68">
        <f>K171+L171</f>
        <v>2.1549999999999998</v>
      </c>
      <c r="N171" s="70"/>
      <c r="O171" s="71"/>
      <c r="P171" s="71"/>
      <c r="Q171" s="72"/>
      <c r="R171" s="73"/>
      <c r="S171" s="144"/>
      <c r="T171" s="421" t="s">
        <v>40</v>
      </c>
      <c r="U171" s="421" t="s">
        <v>141</v>
      </c>
      <c r="V171" s="421"/>
      <c r="W171" s="140">
        <v>55.525829999999999</v>
      </c>
      <c r="X171" s="141">
        <v>101.70722000000001</v>
      </c>
      <c r="Y171" s="423"/>
      <c r="AD171" s="38"/>
      <c r="AE171" s="39"/>
      <c r="AF171" s="40"/>
      <c r="AG171" s="41">
        <v>1</v>
      </c>
      <c r="AH171" s="38"/>
      <c r="AI171" s="39"/>
      <c r="AJ171" s="42"/>
      <c r="AK171" s="41">
        <f>F171</f>
        <v>6.3</v>
      </c>
    </row>
    <row r="172" spans="1:37" x14ac:dyDescent="0.25">
      <c r="A172" s="149" t="s">
        <v>10</v>
      </c>
      <c r="B172" s="62"/>
      <c r="C172" s="63"/>
      <c r="D172" s="63"/>
      <c r="E172" s="64"/>
      <c r="F172" s="156">
        <v>6.3</v>
      </c>
      <c r="G172" s="270">
        <v>1.6</v>
      </c>
      <c r="H172" s="283"/>
      <c r="I172" s="78"/>
      <c r="J172" s="79"/>
      <c r="K172" s="79"/>
      <c r="L172" s="80"/>
      <c r="M172" s="81"/>
      <c r="N172" s="82">
        <f>J171</f>
        <v>1.9542000000000002</v>
      </c>
      <c r="O172" s="83">
        <f>N172/F172*100</f>
        <v>31.019047619047623</v>
      </c>
      <c r="P172" s="336">
        <f>IF(G171&gt;(F172*1.05),0,(F172*1.05)-G171)</f>
        <v>5.0150000000000006</v>
      </c>
      <c r="Q172" s="336">
        <f>IF(N172&gt;(F172*1.05),0,(F172*1.05)-N172)</f>
        <v>4.6608000000000001</v>
      </c>
      <c r="R172" s="338">
        <f>IF(N172&gt;(1.05*F172),0,(F172*1.05)-N172)</f>
        <v>4.6608000000000001</v>
      </c>
      <c r="S172" s="144">
        <f>R172</f>
        <v>4.6608000000000001</v>
      </c>
      <c r="T172" s="422"/>
      <c r="U172" s="422"/>
      <c r="V172" s="422"/>
      <c r="W172" s="142"/>
      <c r="X172" s="143"/>
      <c r="Y172" s="424"/>
      <c r="AD172" s="38"/>
      <c r="AE172" s="39"/>
      <c r="AF172" s="40"/>
      <c r="AG172" s="41"/>
      <c r="AH172" s="38"/>
      <c r="AI172" s="39"/>
      <c r="AJ172" s="42"/>
      <c r="AK172" s="41"/>
    </row>
    <row r="173" spans="1:37" s="341" customFormat="1" x14ac:dyDescent="0.2">
      <c r="A173" s="125" t="s">
        <v>53</v>
      </c>
      <c r="B173" s="126" t="s">
        <v>38</v>
      </c>
      <c r="C173" s="126" t="s">
        <v>38</v>
      </c>
      <c r="D173" s="126" t="s">
        <v>38</v>
      </c>
      <c r="E173" s="126" t="s">
        <v>38</v>
      </c>
      <c r="F173" s="127"/>
      <c r="G173" s="127"/>
      <c r="H173" s="279" t="s">
        <v>129</v>
      </c>
      <c r="I173" s="129" t="s">
        <v>38</v>
      </c>
      <c r="J173" s="128"/>
      <c r="K173" s="128"/>
      <c r="L173" s="128"/>
      <c r="M173" s="128"/>
      <c r="N173" s="128"/>
      <c r="O173" s="130"/>
      <c r="P173" s="130"/>
      <c r="Q173" s="131"/>
      <c r="R173" s="131"/>
      <c r="S173" s="131"/>
      <c r="T173" s="134"/>
      <c r="U173" s="133"/>
      <c r="V173" s="134"/>
      <c r="W173" s="135"/>
      <c r="X173" s="136"/>
      <c r="Y173" s="61"/>
      <c r="Z173" s="49"/>
      <c r="AA173" s="49"/>
      <c r="AB173" s="49"/>
      <c r="AC173" s="49"/>
      <c r="AD173" s="38"/>
      <c r="AE173" s="39"/>
      <c r="AF173" s="40"/>
      <c r="AG173" s="41"/>
      <c r="AH173" s="38"/>
      <c r="AI173" s="39"/>
      <c r="AJ173" s="42"/>
      <c r="AK173" s="41"/>
    </row>
    <row r="174" spans="1:37" ht="14.25" customHeight="1" x14ac:dyDescent="0.25">
      <c r="A174" s="149" t="s">
        <v>142</v>
      </c>
      <c r="B174" s="137"/>
      <c r="C174" s="138"/>
      <c r="D174" s="138"/>
      <c r="E174" s="139" t="s">
        <v>60</v>
      </c>
      <c r="F174" s="285">
        <f>F175+F176</f>
        <v>5</v>
      </c>
      <c r="G174" s="150">
        <f>G175+G176</f>
        <v>0.5</v>
      </c>
      <c r="H174" s="286">
        <v>0.14599999999999999</v>
      </c>
      <c r="I174" s="286">
        <v>0.14599999999999999</v>
      </c>
      <c r="J174" s="152">
        <f>G174+I174</f>
        <v>0.64600000000000002</v>
      </c>
      <c r="K174" s="153">
        <v>0.84399999999999997</v>
      </c>
      <c r="L174" s="154">
        <v>0.68500000000000005</v>
      </c>
      <c r="M174" s="68">
        <f>K174+L174</f>
        <v>1.5289999999999999</v>
      </c>
      <c r="N174" s="70"/>
      <c r="O174" s="71"/>
      <c r="P174" s="71"/>
      <c r="Q174" s="72"/>
      <c r="R174" s="73"/>
      <c r="S174" s="144"/>
      <c r="T174" s="425" t="s">
        <v>40</v>
      </c>
      <c r="U174" s="425" t="s">
        <v>143</v>
      </c>
      <c r="V174" s="425"/>
      <c r="W174" s="74">
        <v>55.437220000000003</v>
      </c>
      <c r="X174" s="75">
        <v>101.33528</v>
      </c>
      <c r="Y174" s="425"/>
      <c r="AD174" s="38"/>
      <c r="AE174" s="39"/>
      <c r="AF174" s="40"/>
      <c r="AG174" s="41">
        <v>1</v>
      </c>
      <c r="AH174" s="38"/>
      <c r="AI174" s="39"/>
      <c r="AJ174" s="42"/>
      <c r="AK174" s="41">
        <f>F174</f>
        <v>5</v>
      </c>
    </row>
    <row r="175" spans="1:37" x14ac:dyDescent="0.2">
      <c r="A175" s="149" t="s">
        <v>10</v>
      </c>
      <c r="B175" s="62"/>
      <c r="C175" s="63"/>
      <c r="D175" s="63"/>
      <c r="E175" s="64"/>
      <c r="F175" s="156">
        <v>2.5</v>
      </c>
      <c r="G175" s="193">
        <v>0.5</v>
      </c>
      <c r="H175" s="283"/>
      <c r="I175" s="78"/>
      <c r="J175" s="79"/>
      <c r="K175" s="79"/>
      <c r="L175" s="80"/>
      <c r="M175" s="81"/>
      <c r="N175" s="82">
        <f>J174</f>
        <v>0.64600000000000002</v>
      </c>
      <c r="O175" s="83">
        <f>N175/F175*100</f>
        <v>25.840000000000003</v>
      </c>
      <c r="P175" s="336">
        <f>IF(G174&gt;(F175*1.05),0,(F175*1.05)-G174)</f>
        <v>2.125</v>
      </c>
      <c r="Q175" s="336">
        <f>IF(N175&gt;(F175*1.05),0,(F175*1.05)-N175)</f>
        <v>1.9790000000000001</v>
      </c>
      <c r="R175" s="338">
        <f>IF(N175&gt;(1.05*F175),0,(F175*1.05)-N175)</f>
        <v>1.9790000000000001</v>
      </c>
      <c r="S175" s="144">
        <f>R175</f>
        <v>1.9790000000000001</v>
      </c>
      <c r="T175" s="426"/>
      <c r="U175" s="426"/>
      <c r="V175" s="426"/>
      <c r="W175" s="84"/>
      <c r="X175" s="85"/>
      <c r="Y175" s="426"/>
      <c r="AD175" s="38"/>
      <c r="AE175" s="39"/>
      <c r="AF175" s="40"/>
      <c r="AG175" s="41"/>
      <c r="AH175" s="38"/>
      <c r="AI175" s="39"/>
      <c r="AJ175" s="42"/>
      <c r="AK175" s="41"/>
    </row>
    <row r="176" spans="1:37" x14ac:dyDescent="0.2">
      <c r="A176" s="149" t="s">
        <v>7</v>
      </c>
      <c r="B176" s="62"/>
      <c r="C176" s="63"/>
      <c r="D176" s="63"/>
      <c r="E176" s="64"/>
      <c r="F176" s="156">
        <v>2.5</v>
      </c>
      <c r="G176" s="99">
        <v>0</v>
      </c>
      <c r="H176" s="287"/>
      <c r="I176" s="88"/>
      <c r="J176" s="89"/>
      <c r="K176" s="90"/>
      <c r="L176" s="90"/>
      <c r="M176" s="90"/>
      <c r="N176" s="91"/>
      <c r="O176" s="92"/>
      <c r="P176" s="92"/>
      <c r="Q176" s="72"/>
      <c r="R176" s="73"/>
      <c r="S176" s="144"/>
      <c r="T176" s="427"/>
      <c r="U176" s="427"/>
      <c r="V176" s="427"/>
      <c r="W176" s="93"/>
      <c r="X176" s="94"/>
      <c r="Y176" s="427"/>
      <c r="AD176" s="38"/>
      <c r="AE176" s="39"/>
      <c r="AF176" s="40"/>
      <c r="AG176" s="41"/>
      <c r="AH176" s="38"/>
      <c r="AI176" s="39"/>
      <c r="AJ176" s="42"/>
      <c r="AK176" s="41"/>
    </row>
    <row r="177" spans="1:37" s="341" customFormat="1" x14ac:dyDescent="0.2">
      <c r="A177" s="125" t="s">
        <v>53</v>
      </c>
      <c r="B177" s="126" t="s">
        <v>38</v>
      </c>
      <c r="C177" s="126" t="s">
        <v>38</v>
      </c>
      <c r="D177" s="126" t="s">
        <v>38</v>
      </c>
      <c r="E177" s="126" t="s">
        <v>38</v>
      </c>
      <c r="F177" s="127"/>
      <c r="G177" s="127"/>
      <c r="H177" s="279" t="s">
        <v>129</v>
      </c>
      <c r="I177" s="129" t="s">
        <v>38</v>
      </c>
      <c r="J177" s="128"/>
      <c r="K177" s="128"/>
      <c r="L177" s="128"/>
      <c r="M177" s="128"/>
      <c r="N177" s="128"/>
      <c r="O177" s="130"/>
      <c r="P177" s="130"/>
      <c r="Q177" s="131"/>
      <c r="R177" s="131"/>
      <c r="S177" s="131"/>
      <c r="T177" s="134"/>
      <c r="U177" s="133"/>
      <c r="V177" s="134"/>
      <c r="W177" s="135"/>
      <c r="X177" s="136"/>
      <c r="Y177" s="61"/>
      <c r="Z177" s="49"/>
      <c r="AA177" s="49"/>
      <c r="AB177" s="49"/>
      <c r="AC177" s="49"/>
      <c r="AD177" s="38"/>
      <c r="AE177" s="39"/>
      <c r="AF177" s="40"/>
      <c r="AG177" s="41"/>
      <c r="AH177" s="38"/>
      <c r="AI177" s="39"/>
      <c r="AJ177" s="42"/>
      <c r="AK177" s="41"/>
    </row>
    <row r="178" spans="1:37" ht="14.25" customHeight="1" x14ac:dyDescent="0.25">
      <c r="A178" s="149" t="s">
        <v>144</v>
      </c>
      <c r="B178" s="137"/>
      <c r="C178" s="138"/>
      <c r="D178" s="138"/>
      <c r="E178" s="139" t="s">
        <v>60</v>
      </c>
      <c r="F178" s="285">
        <f>F179+F180</f>
        <v>3.4000000000000004</v>
      </c>
      <c r="G178" s="150">
        <f>G179+G180</f>
        <v>0.5</v>
      </c>
      <c r="H178" s="286">
        <f>0.0102+0.02</f>
        <v>3.0200000000000001E-2</v>
      </c>
      <c r="I178" s="286">
        <f>0.0102+0.02</f>
        <v>3.0200000000000001E-2</v>
      </c>
      <c r="J178" s="152">
        <f>G178+I178</f>
        <v>0.5302</v>
      </c>
      <c r="K178" s="153">
        <v>1.3819999999999999</v>
      </c>
      <c r="L178" s="154">
        <v>0</v>
      </c>
      <c r="M178" s="68">
        <f>K178+L178</f>
        <v>1.3819999999999999</v>
      </c>
      <c r="N178" s="70"/>
      <c r="O178" s="71"/>
      <c r="P178" s="71"/>
      <c r="Q178" s="72"/>
      <c r="R178" s="73"/>
      <c r="S178" s="144"/>
      <c r="T178" s="425" t="s">
        <v>40</v>
      </c>
      <c r="U178" s="425" t="s">
        <v>145</v>
      </c>
      <c r="V178" s="425"/>
      <c r="W178" s="74">
        <v>55.50667</v>
      </c>
      <c r="X178" s="75">
        <v>101.96111000000001</v>
      </c>
      <c r="Y178" s="425"/>
      <c r="AD178" s="38"/>
      <c r="AE178" s="39"/>
      <c r="AF178" s="40"/>
      <c r="AG178" s="41">
        <v>1</v>
      </c>
      <c r="AH178" s="38"/>
      <c r="AI178" s="39"/>
      <c r="AJ178" s="42"/>
      <c r="AK178" s="41">
        <f>F178</f>
        <v>3.4000000000000004</v>
      </c>
    </row>
    <row r="179" spans="1:37" x14ac:dyDescent="0.2">
      <c r="A179" s="149" t="s">
        <v>10</v>
      </c>
      <c r="B179" s="62"/>
      <c r="C179" s="63"/>
      <c r="D179" s="63"/>
      <c r="E179" s="64"/>
      <c r="F179" s="156">
        <v>1.6</v>
      </c>
      <c r="G179" s="99">
        <v>0</v>
      </c>
      <c r="H179" s="283"/>
      <c r="I179" s="78"/>
      <c r="J179" s="79"/>
      <c r="K179" s="79"/>
      <c r="L179" s="80"/>
      <c r="M179" s="81"/>
      <c r="N179" s="82">
        <f>J178</f>
        <v>0.5302</v>
      </c>
      <c r="O179" s="83">
        <f>N179/F179*100</f>
        <v>33.137499999999996</v>
      </c>
      <c r="P179" s="336">
        <f>IF(G178&gt;(F179*1.05),0,(F179*1.05)-G178)</f>
        <v>1.1800000000000002</v>
      </c>
      <c r="Q179" s="336">
        <f>IF(N179&gt;(F179*1.05),0,(F179*1.05)-N179)</f>
        <v>1.1498000000000002</v>
      </c>
      <c r="R179" s="338">
        <f>IF(N179&gt;(1.05*F179),0,(F179*1.05)-N179)</f>
        <v>1.1498000000000002</v>
      </c>
      <c r="S179" s="144">
        <f>R179</f>
        <v>1.1498000000000002</v>
      </c>
      <c r="T179" s="426"/>
      <c r="U179" s="426"/>
      <c r="V179" s="426"/>
      <c r="W179" s="84"/>
      <c r="X179" s="85"/>
      <c r="Y179" s="426"/>
      <c r="AD179" s="38"/>
      <c r="AE179" s="39"/>
      <c r="AF179" s="40"/>
      <c r="AG179" s="41"/>
      <c r="AH179" s="38"/>
      <c r="AI179" s="39"/>
      <c r="AJ179" s="42"/>
      <c r="AK179" s="41"/>
    </row>
    <row r="180" spans="1:37" x14ac:dyDescent="0.2">
      <c r="A180" s="149" t="s">
        <v>7</v>
      </c>
      <c r="B180" s="62"/>
      <c r="C180" s="63"/>
      <c r="D180" s="63"/>
      <c r="E180" s="64"/>
      <c r="F180" s="156">
        <v>1.8</v>
      </c>
      <c r="G180" s="193">
        <v>0.5</v>
      </c>
      <c r="H180" s="287"/>
      <c r="I180" s="88"/>
      <c r="J180" s="89"/>
      <c r="K180" s="90"/>
      <c r="L180" s="90"/>
      <c r="M180" s="90"/>
      <c r="N180" s="91"/>
      <c r="O180" s="92"/>
      <c r="P180" s="92"/>
      <c r="Q180" s="72"/>
      <c r="R180" s="73"/>
      <c r="S180" s="144"/>
      <c r="T180" s="427"/>
      <c r="U180" s="427"/>
      <c r="V180" s="427"/>
      <c r="W180" s="93"/>
      <c r="X180" s="94"/>
      <c r="Y180" s="427"/>
      <c r="AD180" s="38"/>
      <c r="AE180" s="39"/>
      <c r="AF180" s="40"/>
      <c r="AG180" s="41"/>
      <c r="AH180" s="38"/>
      <c r="AI180" s="39"/>
      <c r="AJ180" s="42"/>
      <c r="AK180" s="41"/>
    </row>
    <row r="181" spans="1:37" s="341" customFormat="1" x14ac:dyDescent="0.2">
      <c r="A181" s="125" t="s">
        <v>53</v>
      </c>
      <c r="B181" s="126" t="s">
        <v>38</v>
      </c>
      <c r="C181" s="126" t="s">
        <v>38</v>
      </c>
      <c r="D181" s="126" t="s">
        <v>38</v>
      </c>
      <c r="E181" s="126" t="s">
        <v>38</v>
      </c>
      <c r="F181" s="127"/>
      <c r="G181" s="127"/>
      <c r="H181" s="279" t="s">
        <v>129</v>
      </c>
      <c r="I181" s="129" t="s">
        <v>38</v>
      </c>
      <c r="J181" s="128"/>
      <c r="K181" s="128"/>
      <c r="L181" s="128"/>
      <c r="M181" s="128"/>
      <c r="N181" s="128"/>
      <c r="O181" s="130"/>
      <c r="P181" s="130"/>
      <c r="Q181" s="131"/>
      <c r="R181" s="131"/>
      <c r="S181" s="131"/>
      <c r="T181" s="134"/>
      <c r="U181" s="133"/>
      <c r="V181" s="134"/>
      <c r="W181" s="135"/>
      <c r="X181" s="136"/>
      <c r="Y181" s="61"/>
      <c r="Z181" s="49"/>
      <c r="AA181" s="49"/>
      <c r="AB181" s="49"/>
      <c r="AC181" s="49"/>
      <c r="AD181" s="38"/>
      <c r="AE181" s="39"/>
      <c r="AF181" s="40"/>
      <c r="AG181" s="41"/>
      <c r="AH181" s="38"/>
      <c r="AI181" s="39"/>
      <c r="AJ181" s="42"/>
      <c r="AK181" s="41"/>
    </row>
    <row r="182" spans="1:37" ht="14.25" customHeight="1" x14ac:dyDescent="0.25">
      <c r="A182" s="149" t="s">
        <v>146</v>
      </c>
      <c r="B182" s="137"/>
      <c r="C182" s="138"/>
      <c r="D182" s="138"/>
      <c r="E182" s="139" t="s">
        <v>60</v>
      </c>
      <c r="F182" s="285">
        <f>F183</f>
        <v>2.5</v>
      </c>
      <c r="G182" s="150">
        <f>G183</f>
        <v>0.5</v>
      </c>
      <c r="H182" s="286">
        <f>0.134+0.02</f>
        <v>0.154</v>
      </c>
      <c r="I182" s="286">
        <f>0.134+0.02</f>
        <v>0.154</v>
      </c>
      <c r="J182" s="152">
        <f>G182+I182</f>
        <v>0.65400000000000003</v>
      </c>
      <c r="K182" s="153">
        <v>0.14000000000000001</v>
      </c>
      <c r="L182" s="154">
        <v>0</v>
      </c>
      <c r="M182" s="68">
        <f>K182+L182</f>
        <v>0.14000000000000001</v>
      </c>
      <c r="N182" s="70"/>
      <c r="O182" s="71"/>
      <c r="P182" s="71"/>
      <c r="Q182" s="72"/>
      <c r="R182" s="73"/>
      <c r="S182" s="144"/>
      <c r="T182" s="421" t="s">
        <v>40</v>
      </c>
      <c r="U182" s="421" t="s">
        <v>147</v>
      </c>
      <c r="V182" s="421"/>
      <c r="W182" s="140">
        <v>55.562220000000003</v>
      </c>
      <c r="X182" s="141">
        <v>101.47861</v>
      </c>
      <c r="Y182" s="423"/>
      <c r="AD182" s="38"/>
      <c r="AE182" s="39"/>
      <c r="AF182" s="40"/>
      <c r="AG182" s="41">
        <v>1</v>
      </c>
      <c r="AH182" s="38"/>
      <c r="AI182" s="39"/>
      <c r="AJ182" s="42"/>
      <c r="AK182" s="41">
        <f>F182</f>
        <v>2.5</v>
      </c>
    </row>
    <row r="183" spans="1:37" x14ac:dyDescent="0.2">
      <c r="A183" s="149" t="s">
        <v>10</v>
      </c>
      <c r="B183" s="62"/>
      <c r="C183" s="63"/>
      <c r="D183" s="63"/>
      <c r="E183" s="64"/>
      <c r="F183" s="156">
        <v>2.5</v>
      </c>
      <c r="G183" s="193">
        <v>0.5</v>
      </c>
      <c r="H183" s="283"/>
      <c r="I183" s="78"/>
      <c r="J183" s="79"/>
      <c r="K183" s="79"/>
      <c r="L183" s="80"/>
      <c r="M183" s="81"/>
      <c r="N183" s="82">
        <f>J182</f>
        <v>0.65400000000000003</v>
      </c>
      <c r="O183" s="83">
        <f>N183/F183*100</f>
        <v>26.16</v>
      </c>
      <c r="P183" s="336">
        <f>IF(G182&gt;(F183*1.05),0,(F183*1.05)-G182)</f>
        <v>2.125</v>
      </c>
      <c r="Q183" s="336">
        <f>IF(N183&gt;(F183*1.05),0,(F183*1.05)-N183)</f>
        <v>1.9710000000000001</v>
      </c>
      <c r="R183" s="338">
        <f>IF(N183&gt;(1.05*F183),0,(F183*1.05)-N183)</f>
        <v>1.9710000000000001</v>
      </c>
      <c r="S183" s="144">
        <f>R183</f>
        <v>1.9710000000000001</v>
      </c>
      <c r="T183" s="422"/>
      <c r="U183" s="422"/>
      <c r="V183" s="422"/>
      <c r="W183" s="142"/>
      <c r="X183" s="143"/>
      <c r="Y183" s="424"/>
      <c r="AD183" s="38"/>
      <c r="AE183" s="39"/>
      <c r="AF183" s="40"/>
      <c r="AG183" s="41"/>
      <c r="AH183" s="38"/>
      <c r="AI183" s="39"/>
      <c r="AJ183" s="42"/>
      <c r="AK183" s="41"/>
    </row>
    <row r="184" spans="1:37" s="341" customFormat="1" x14ac:dyDescent="0.2">
      <c r="A184" s="125" t="s">
        <v>53</v>
      </c>
      <c r="B184" s="126" t="s">
        <v>38</v>
      </c>
      <c r="C184" s="126" t="s">
        <v>38</v>
      </c>
      <c r="D184" s="126" t="s">
        <v>38</v>
      </c>
      <c r="E184" s="126" t="s">
        <v>38</v>
      </c>
      <c r="F184" s="127"/>
      <c r="G184" s="127"/>
      <c r="H184" s="279" t="s">
        <v>129</v>
      </c>
      <c r="I184" s="129" t="s">
        <v>38</v>
      </c>
      <c r="J184" s="128"/>
      <c r="K184" s="128"/>
      <c r="L184" s="128"/>
      <c r="M184" s="128"/>
      <c r="N184" s="128"/>
      <c r="O184" s="130"/>
      <c r="P184" s="130"/>
      <c r="Q184" s="131"/>
      <c r="R184" s="131"/>
      <c r="S184" s="131"/>
      <c r="T184" s="134"/>
      <c r="U184" s="133"/>
      <c r="V184" s="134"/>
      <c r="W184" s="135"/>
      <c r="X184" s="136"/>
      <c r="Y184" s="61"/>
      <c r="Z184" s="49"/>
      <c r="AA184" s="49"/>
      <c r="AB184" s="49"/>
      <c r="AC184" s="49"/>
      <c r="AD184" s="38"/>
      <c r="AE184" s="39"/>
      <c r="AF184" s="40"/>
      <c r="AG184" s="41"/>
      <c r="AH184" s="38"/>
      <c r="AI184" s="39"/>
      <c r="AJ184" s="42"/>
      <c r="AK184" s="41"/>
    </row>
    <row r="185" spans="1:37" ht="14.25" customHeight="1" x14ac:dyDescent="0.25">
      <c r="A185" s="149" t="s">
        <v>148</v>
      </c>
      <c r="B185" s="137"/>
      <c r="C185" s="138"/>
      <c r="D185" s="138"/>
      <c r="E185" s="139" t="s">
        <v>60</v>
      </c>
      <c r="F185" s="285">
        <f>F186</f>
        <v>1</v>
      </c>
      <c r="G185" s="172">
        <f>G186</f>
        <v>0.01</v>
      </c>
      <c r="H185" s="286">
        <v>0</v>
      </c>
      <c r="I185" s="151">
        <v>0</v>
      </c>
      <c r="J185" s="152">
        <f>G185+I185</f>
        <v>0.01</v>
      </c>
      <c r="K185" s="153">
        <v>0.2</v>
      </c>
      <c r="L185" s="154">
        <v>0</v>
      </c>
      <c r="M185" s="68">
        <f>K185+L185</f>
        <v>0.2</v>
      </c>
      <c r="N185" s="70"/>
      <c r="O185" s="71"/>
      <c r="P185" s="71"/>
      <c r="Q185" s="72"/>
      <c r="R185" s="73"/>
      <c r="S185" s="144"/>
      <c r="T185" s="421" t="s">
        <v>40</v>
      </c>
      <c r="U185" s="421" t="s">
        <v>149</v>
      </c>
      <c r="V185" s="421"/>
      <c r="W185" s="140">
        <v>55.266109999999998</v>
      </c>
      <c r="X185" s="141">
        <v>102.23667</v>
      </c>
      <c r="Y185" s="423"/>
      <c r="AD185" s="38"/>
      <c r="AE185" s="39"/>
      <c r="AF185" s="40"/>
      <c r="AG185" s="41">
        <v>1</v>
      </c>
      <c r="AH185" s="38"/>
      <c r="AI185" s="39"/>
      <c r="AJ185" s="42"/>
      <c r="AK185" s="41">
        <f>F185</f>
        <v>1</v>
      </c>
    </row>
    <row r="186" spans="1:37" x14ac:dyDescent="0.2">
      <c r="A186" s="149" t="s">
        <v>10</v>
      </c>
      <c r="B186" s="62"/>
      <c r="C186" s="63"/>
      <c r="D186" s="63"/>
      <c r="E186" s="64"/>
      <c r="F186" s="156">
        <v>1</v>
      </c>
      <c r="G186" s="275">
        <v>0.01</v>
      </c>
      <c r="H186" s="283"/>
      <c r="I186" s="78"/>
      <c r="J186" s="79"/>
      <c r="K186" s="79"/>
      <c r="L186" s="80"/>
      <c r="M186" s="81"/>
      <c r="N186" s="82">
        <f>J185</f>
        <v>0.01</v>
      </c>
      <c r="O186" s="83">
        <f>N186/F186*100</f>
        <v>1</v>
      </c>
      <c r="P186" s="336">
        <f>IF(G185&gt;(F186*1.05),0,(F186*1.05)-G185)</f>
        <v>1.04</v>
      </c>
      <c r="Q186" s="336">
        <f>IF(N186&gt;(F186*1.05),0,(F186*1.05)-N186)</f>
        <v>1.04</v>
      </c>
      <c r="R186" s="338">
        <f>IF(N186&gt;(1.05*F186),0,(F186*1.05)-N186)</f>
        <v>1.04</v>
      </c>
      <c r="S186" s="144">
        <f>R186</f>
        <v>1.04</v>
      </c>
      <c r="T186" s="422"/>
      <c r="U186" s="422"/>
      <c r="V186" s="422"/>
      <c r="W186" s="142"/>
      <c r="X186" s="143"/>
      <c r="Y186" s="424"/>
      <c r="AD186" s="38"/>
      <c r="AE186" s="39"/>
      <c r="AF186" s="40"/>
      <c r="AG186" s="41"/>
      <c r="AH186" s="38"/>
      <c r="AI186" s="39"/>
      <c r="AJ186" s="42"/>
      <c r="AK186" s="41"/>
    </row>
    <row r="187" spans="1:37" s="341" customFormat="1" x14ac:dyDescent="0.2">
      <c r="A187" s="125" t="s">
        <v>53</v>
      </c>
      <c r="B187" s="126" t="s">
        <v>38</v>
      </c>
      <c r="C187" s="126" t="s">
        <v>38</v>
      </c>
      <c r="D187" s="126" t="s">
        <v>38</v>
      </c>
      <c r="E187" s="126" t="s">
        <v>38</v>
      </c>
      <c r="F187" s="127"/>
      <c r="G187" s="127"/>
      <c r="H187" s="279" t="s">
        <v>129</v>
      </c>
      <c r="I187" s="129" t="s">
        <v>38</v>
      </c>
      <c r="J187" s="128"/>
      <c r="K187" s="128"/>
      <c r="L187" s="128"/>
      <c r="M187" s="128"/>
      <c r="N187" s="128"/>
      <c r="O187" s="130"/>
      <c r="P187" s="130"/>
      <c r="Q187" s="131"/>
      <c r="R187" s="131"/>
      <c r="S187" s="131"/>
      <c r="T187" s="134"/>
      <c r="U187" s="133"/>
      <c r="V187" s="134"/>
      <c r="W187" s="135"/>
      <c r="X187" s="136"/>
      <c r="Y187" s="61"/>
      <c r="Z187" s="49"/>
      <c r="AA187" s="49"/>
      <c r="AB187" s="49"/>
      <c r="AC187" s="49"/>
      <c r="AD187" s="38"/>
      <c r="AE187" s="39"/>
      <c r="AF187" s="40"/>
      <c r="AG187" s="41"/>
      <c r="AH187" s="38"/>
      <c r="AI187" s="39"/>
      <c r="AJ187" s="42"/>
      <c r="AK187" s="41"/>
    </row>
    <row r="188" spans="1:37" ht="14.25" customHeight="1" x14ac:dyDescent="0.25">
      <c r="A188" s="149" t="s">
        <v>150</v>
      </c>
      <c r="B188" s="137"/>
      <c r="C188" s="138"/>
      <c r="D188" s="138"/>
      <c r="E188" s="139" t="s">
        <v>60</v>
      </c>
      <c r="F188" s="285">
        <f>F189+F190</f>
        <v>8</v>
      </c>
      <c r="G188" s="150">
        <f>G189+G190</f>
        <v>3.4000000000000004</v>
      </c>
      <c r="H188" s="286">
        <f>0.344+0.045+0.03</f>
        <v>0.41899999999999993</v>
      </c>
      <c r="I188" s="286">
        <f>0.344+0.045+0.03</f>
        <v>0.41899999999999993</v>
      </c>
      <c r="J188" s="152">
        <f>G188+I188</f>
        <v>3.8190000000000004</v>
      </c>
      <c r="K188" s="153">
        <v>4.694</v>
      </c>
      <c r="L188" s="154">
        <v>0.8</v>
      </c>
      <c r="M188" s="68">
        <f>K188+L188</f>
        <v>5.4939999999999998</v>
      </c>
      <c r="N188" s="70"/>
      <c r="O188" s="71"/>
      <c r="P188" s="71"/>
      <c r="Q188" s="72"/>
      <c r="R188" s="73"/>
      <c r="S188" s="144"/>
      <c r="T188" s="425" t="s">
        <v>40</v>
      </c>
      <c r="U188" s="425" t="s">
        <v>151</v>
      </c>
      <c r="V188" s="425"/>
      <c r="W188" s="74">
        <v>55.379739999999998</v>
      </c>
      <c r="X188" s="75">
        <v>101.04812099999999</v>
      </c>
      <c r="Y188" s="425"/>
      <c r="AD188" s="38"/>
      <c r="AE188" s="39"/>
      <c r="AF188" s="40"/>
      <c r="AG188" s="41">
        <v>1</v>
      </c>
      <c r="AH188" s="38"/>
      <c r="AI188" s="39"/>
      <c r="AJ188" s="42"/>
      <c r="AK188" s="41">
        <f>F188</f>
        <v>8</v>
      </c>
    </row>
    <row r="189" spans="1:37" x14ac:dyDescent="0.25">
      <c r="A189" s="149" t="s">
        <v>10</v>
      </c>
      <c r="B189" s="62"/>
      <c r="C189" s="63"/>
      <c r="D189" s="63"/>
      <c r="E189" s="64"/>
      <c r="F189" s="156">
        <v>4</v>
      </c>
      <c r="G189" s="270">
        <v>1.8</v>
      </c>
      <c r="H189" s="283"/>
      <c r="I189" s="78"/>
      <c r="J189" s="79"/>
      <c r="K189" s="79"/>
      <c r="L189" s="80"/>
      <c r="M189" s="81"/>
      <c r="N189" s="82">
        <f>J188</f>
        <v>3.8190000000000004</v>
      </c>
      <c r="O189" s="83">
        <f>N189/F189*100</f>
        <v>95.475000000000009</v>
      </c>
      <c r="P189" s="336">
        <f>IF(G188&gt;(F189*1.05),0,(F189*1.05)-G188)</f>
        <v>0.79999999999999982</v>
      </c>
      <c r="Q189" s="336">
        <f>IF(N189&gt;(F189*1.05),0,(F189*1.05)-N189)</f>
        <v>0.38099999999999978</v>
      </c>
      <c r="R189" s="338">
        <f>IF(N189&gt;(1.05*F189),0,(F189*1.05)-N189)</f>
        <v>0.38099999999999978</v>
      </c>
      <c r="S189" s="144">
        <f>R189</f>
        <v>0.38099999999999978</v>
      </c>
      <c r="T189" s="426"/>
      <c r="U189" s="426"/>
      <c r="V189" s="426"/>
      <c r="W189" s="84"/>
      <c r="X189" s="85"/>
      <c r="Y189" s="426"/>
      <c r="AD189" s="38"/>
      <c r="AE189" s="39"/>
      <c r="AF189" s="40"/>
      <c r="AG189" s="41"/>
      <c r="AH189" s="38"/>
      <c r="AI189" s="39"/>
      <c r="AJ189" s="42"/>
      <c r="AK189" s="41"/>
    </row>
    <row r="190" spans="1:37" x14ac:dyDescent="0.25">
      <c r="A190" s="149" t="s">
        <v>7</v>
      </c>
      <c r="B190" s="62"/>
      <c r="C190" s="63"/>
      <c r="D190" s="63"/>
      <c r="E190" s="64"/>
      <c r="F190" s="156">
        <v>4</v>
      </c>
      <c r="G190" s="270">
        <v>1.6</v>
      </c>
      <c r="H190" s="287"/>
      <c r="I190" s="88"/>
      <c r="J190" s="89"/>
      <c r="K190" s="90"/>
      <c r="L190" s="90"/>
      <c r="M190" s="90"/>
      <c r="N190" s="91"/>
      <c r="O190" s="92"/>
      <c r="P190" s="92"/>
      <c r="Q190" s="72"/>
      <c r="R190" s="73"/>
      <c r="S190" s="144"/>
      <c r="T190" s="427"/>
      <c r="U190" s="427"/>
      <c r="V190" s="427"/>
      <c r="W190" s="93"/>
      <c r="X190" s="94"/>
      <c r="Y190" s="427"/>
      <c r="AD190" s="38"/>
      <c r="AE190" s="39"/>
      <c r="AF190" s="40"/>
      <c r="AG190" s="41"/>
      <c r="AH190" s="38"/>
      <c r="AI190" s="39"/>
      <c r="AJ190" s="42"/>
      <c r="AK190" s="41"/>
    </row>
    <row r="191" spans="1:37" s="341" customFormat="1" x14ac:dyDescent="0.2">
      <c r="A191" s="125" t="s">
        <v>53</v>
      </c>
      <c r="B191" s="126" t="s">
        <v>38</v>
      </c>
      <c r="C191" s="126" t="s">
        <v>38</v>
      </c>
      <c r="D191" s="126" t="s">
        <v>38</v>
      </c>
      <c r="E191" s="126" t="s">
        <v>38</v>
      </c>
      <c r="F191" s="127"/>
      <c r="G191" s="127"/>
      <c r="H191" s="279" t="s">
        <v>129</v>
      </c>
      <c r="I191" s="129" t="s">
        <v>38</v>
      </c>
      <c r="J191" s="128"/>
      <c r="K191" s="128"/>
      <c r="L191" s="128"/>
      <c r="M191" s="128"/>
      <c r="N191" s="128"/>
      <c r="O191" s="130"/>
      <c r="P191" s="130"/>
      <c r="Q191" s="131"/>
      <c r="R191" s="131"/>
      <c r="S191" s="131"/>
      <c r="T191" s="134"/>
      <c r="U191" s="133"/>
      <c r="V191" s="134"/>
      <c r="W191" s="135"/>
      <c r="X191" s="136"/>
      <c r="Y191" s="61"/>
      <c r="Z191" s="49"/>
      <c r="AA191" s="49"/>
      <c r="AB191" s="49"/>
      <c r="AC191" s="49"/>
      <c r="AD191" s="38"/>
      <c r="AE191" s="39"/>
      <c r="AF191" s="40"/>
      <c r="AG191" s="41"/>
      <c r="AH191" s="38"/>
      <c r="AI191" s="39"/>
      <c r="AJ191" s="42"/>
      <c r="AK191" s="41"/>
    </row>
    <row r="192" spans="1:37" ht="14.25" customHeight="1" x14ac:dyDescent="0.25">
      <c r="A192" s="149" t="s">
        <v>152</v>
      </c>
      <c r="B192" s="137"/>
      <c r="C192" s="138"/>
      <c r="D192" s="138"/>
      <c r="E192" s="139" t="s">
        <v>60</v>
      </c>
      <c r="F192" s="285">
        <f>F193+F194</f>
        <v>4.0999999999999996</v>
      </c>
      <c r="G192" s="150">
        <f>G193+G194</f>
        <v>1.1000000000000001</v>
      </c>
      <c r="H192" s="286">
        <f>0.106+0.03+0.01</f>
        <v>0.14600000000000002</v>
      </c>
      <c r="I192" s="286">
        <f>0.106+0.03+0.01</f>
        <v>0.14600000000000002</v>
      </c>
      <c r="J192" s="152">
        <f>G192+I192</f>
        <v>1.246</v>
      </c>
      <c r="K192" s="153">
        <v>1.393</v>
      </c>
      <c r="L192" s="154">
        <v>0</v>
      </c>
      <c r="M192" s="68">
        <f>K192+L192</f>
        <v>1.393</v>
      </c>
      <c r="N192" s="70"/>
      <c r="O192" s="71"/>
      <c r="P192" s="71"/>
      <c r="Q192" s="72"/>
      <c r="R192" s="73"/>
      <c r="S192" s="144"/>
      <c r="T192" s="425" t="s">
        <v>40</v>
      </c>
      <c r="U192" s="425" t="s">
        <v>151</v>
      </c>
      <c r="V192" s="425"/>
      <c r="W192" s="74">
        <v>55.33972</v>
      </c>
      <c r="X192" s="75">
        <v>100.73417000000001</v>
      </c>
      <c r="Y192" s="425"/>
      <c r="AD192" s="38"/>
      <c r="AE192" s="39"/>
      <c r="AF192" s="40"/>
      <c r="AG192" s="41">
        <v>1</v>
      </c>
      <c r="AH192" s="38"/>
      <c r="AI192" s="39"/>
      <c r="AJ192" s="42"/>
      <c r="AK192" s="41">
        <f>F192</f>
        <v>4.0999999999999996</v>
      </c>
    </row>
    <row r="193" spans="1:37" x14ac:dyDescent="0.2">
      <c r="A193" s="149" t="s">
        <v>10</v>
      </c>
      <c r="B193" s="62"/>
      <c r="C193" s="63"/>
      <c r="D193" s="63"/>
      <c r="E193" s="64"/>
      <c r="F193" s="156">
        <v>2.5</v>
      </c>
      <c r="G193" s="99">
        <v>0</v>
      </c>
      <c r="H193" s="283"/>
      <c r="I193" s="78"/>
      <c r="J193" s="79"/>
      <c r="K193" s="79"/>
      <c r="L193" s="80"/>
      <c r="M193" s="81"/>
      <c r="N193" s="82">
        <f>J192</f>
        <v>1.246</v>
      </c>
      <c r="O193" s="83">
        <f>N193/F193*100</f>
        <v>49.84</v>
      </c>
      <c r="P193" s="336">
        <f>IF(G192&gt;(F193*1.05),0,(F193*1.05)-G192)</f>
        <v>1.5249999999999999</v>
      </c>
      <c r="Q193" s="336">
        <f>IF(N193&gt;(F193*1.05),0,(F193*1.05)-N193)</f>
        <v>1.379</v>
      </c>
      <c r="R193" s="338">
        <f>IF(N193&gt;(1.05*F193),0,(F193*1.05)-N193)</f>
        <v>1.379</v>
      </c>
      <c r="S193" s="144">
        <f>R193</f>
        <v>1.379</v>
      </c>
      <c r="T193" s="426"/>
      <c r="U193" s="426"/>
      <c r="V193" s="426"/>
      <c r="W193" s="84"/>
      <c r="X193" s="85"/>
      <c r="Y193" s="426"/>
      <c r="AD193" s="38"/>
      <c r="AE193" s="39"/>
      <c r="AF193" s="40"/>
      <c r="AG193" s="41"/>
      <c r="AH193" s="38"/>
      <c r="AI193" s="39"/>
      <c r="AJ193" s="42"/>
      <c r="AK193" s="41"/>
    </row>
    <row r="194" spans="1:37" x14ac:dyDescent="0.25">
      <c r="A194" s="149" t="s">
        <v>7</v>
      </c>
      <c r="B194" s="62"/>
      <c r="C194" s="63"/>
      <c r="D194" s="63"/>
      <c r="E194" s="64"/>
      <c r="F194" s="156">
        <v>1.6</v>
      </c>
      <c r="G194" s="270">
        <v>1.1000000000000001</v>
      </c>
      <c r="H194" s="287"/>
      <c r="I194" s="88"/>
      <c r="J194" s="89"/>
      <c r="K194" s="90"/>
      <c r="L194" s="90"/>
      <c r="M194" s="90"/>
      <c r="N194" s="91"/>
      <c r="O194" s="92"/>
      <c r="P194" s="92"/>
      <c r="Q194" s="72"/>
      <c r="R194" s="73"/>
      <c r="S194" s="144"/>
      <c r="T194" s="427"/>
      <c r="U194" s="427"/>
      <c r="V194" s="427"/>
      <c r="W194" s="93"/>
      <c r="X194" s="94"/>
      <c r="Y194" s="427"/>
      <c r="AD194" s="38"/>
      <c r="AE194" s="39"/>
      <c r="AF194" s="40"/>
      <c r="AG194" s="41"/>
      <c r="AH194" s="38"/>
      <c r="AI194" s="39"/>
      <c r="AJ194" s="42"/>
      <c r="AK194" s="41"/>
    </row>
    <row r="195" spans="1:37" s="341" customFormat="1" x14ac:dyDescent="0.2">
      <c r="A195" s="125" t="s">
        <v>53</v>
      </c>
      <c r="B195" s="126" t="s">
        <v>38</v>
      </c>
      <c r="C195" s="126" t="s">
        <v>38</v>
      </c>
      <c r="D195" s="126" t="s">
        <v>38</v>
      </c>
      <c r="E195" s="126" t="s">
        <v>38</v>
      </c>
      <c r="F195" s="127"/>
      <c r="G195" s="127"/>
      <c r="H195" s="279" t="s">
        <v>129</v>
      </c>
      <c r="I195" s="129" t="s">
        <v>38</v>
      </c>
      <c r="J195" s="128"/>
      <c r="K195" s="128"/>
      <c r="L195" s="128"/>
      <c r="M195" s="128"/>
      <c r="N195" s="128"/>
      <c r="O195" s="130"/>
      <c r="P195" s="130"/>
      <c r="Q195" s="131"/>
      <c r="R195" s="131"/>
      <c r="S195" s="131"/>
      <c r="T195" s="134"/>
      <c r="U195" s="133"/>
      <c r="V195" s="134"/>
      <c r="W195" s="135"/>
      <c r="X195" s="136"/>
      <c r="Y195" s="61"/>
      <c r="Z195" s="49"/>
      <c r="AA195" s="49"/>
      <c r="AB195" s="49"/>
      <c r="AC195" s="49"/>
      <c r="AD195" s="38"/>
      <c r="AE195" s="39"/>
      <c r="AF195" s="40"/>
      <c r="AG195" s="41"/>
      <c r="AH195" s="38"/>
      <c r="AI195" s="39"/>
      <c r="AJ195" s="42"/>
      <c r="AK195" s="41"/>
    </row>
    <row r="196" spans="1:37" ht="14.25" customHeight="1" x14ac:dyDescent="0.25">
      <c r="A196" s="149" t="s">
        <v>153</v>
      </c>
      <c r="B196" s="137"/>
      <c r="C196" s="138"/>
      <c r="D196" s="138"/>
      <c r="E196" s="139" t="s">
        <v>60</v>
      </c>
      <c r="F196" s="280">
        <f>F197</f>
        <v>2.5</v>
      </c>
      <c r="G196" s="65">
        <f>G197</f>
        <v>0.7</v>
      </c>
      <c r="H196" s="281">
        <v>0</v>
      </c>
      <c r="I196" s="66">
        <v>0</v>
      </c>
      <c r="J196" s="67">
        <f>G196+I196</f>
        <v>0.7</v>
      </c>
      <c r="K196" s="68">
        <v>0.2</v>
      </c>
      <c r="L196" s="69">
        <v>2</v>
      </c>
      <c r="M196" s="68">
        <f>K196+L196</f>
        <v>2.2000000000000002</v>
      </c>
      <c r="N196" s="70"/>
      <c r="O196" s="71"/>
      <c r="P196" s="71"/>
      <c r="Q196" s="72"/>
      <c r="R196" s="73"/>
      <c r="S196" s="144"/>
      <c r="T196" s="421" t="s">
        <v>40</v>
      </c>
      <c r="U196" s="421" t="s">
        <v>154</v>
      </c>
      <c r="V196" s="421"/>
      <c r="W196" s="140">
        <v>55.404440000000001</v>
      </c>
      <c r="X196" s="141">
        <v>101.89472000000001</v>
      </c>
      <c r="Y196" s="423"/>
      <c r="AD196" s="38"/>
      <c r="AE196" s="39"/>
      <c r="AF196" s="40"/>
      <c r="AG196" s="41">
        <v>1</v>
      </c>
      <c r="AH196" s="38"/>
      <c r="AI196" s="39"/>
      <c r="AJ196" s="42"/>
      <c r="AK196" s="41">
        <f>F196</f>
        <v>2.5</v>
      </c>
    </row>
    <row r="197" spans="1:37" x14ac:dyDescent="0.25">
      <c r="A197" s="149" t="s">
        <v>10</v>
      </c>
      <c r="B197" s="62"/>
      <c r="C197" s="63"/>
      <c r="D197" s="63"/>
      <c r="E197" s="64"/>
      <c r="F197" s="156">
        <v>2.5</v>
      </c>
      <c r="G197" s="270">
        <v>0.7</v>
      </c>
      <c r="H197" s="300"/>
      <c r="I197" s="201"/>
      <c r="J197" s="91"/>
      <c r="K197" s="91"/>
      <c r="L197" s="194"/>
      <c r="M197" s="195"/>
      <c r="N197" s="204">
        <f>J196</f>
        <v>0.7</v>
      </c>
      <c r="O197" s="158">
        <f>N197/F197*100</f>
        <v>27.999999999999996</v>
      </c>
      <c r="P197" s="116">
        <f>IF(G196&gt;(F197*1.05),0,(F197*1.05)-G196)</f>
        <v>1.925</v>
      </c>
      <c r="Q197" s="116">
        <f>IF(N197&gt;(F197*1.05),0,(F197*1.05)-N197)</f>
        <v>1.925</v>
      </c>
      <c r="R197" s="144">
        <f>IF(N197&gt;(1.05*F197),0,(F197*1.05)-N197)</f>
        <v>1.925</v>
      </c>
      <c r="S197" s="144">
        <f>R197</f>
        <v>1.925</v>
      </c>
      <c r="T197" s="422"/>
      <c r="U197" s="422"/>
      <c r="V197" s="422"/>
      <c r="W197" s="142"/>
      <c r="X197" s="143"/>
      <c r="Y197" s="424"/>
      <c r="AD197" s="38"/>
      <c r="AE197" s="39"/>
      <c r="AF197" s="40"/>
      <c r="AG197" s="41"/>
      <c r="AH197" s="38"/>
      <c r="AI197" s="39"/>
      <c r="AJ197" s="42"/>
      <c r="AK197" s="41"/>
    </row>
  </sheetData>
  <sheetProtection formatRows="0" insertColumns="0" insertRows="0" insertHyperlinks="0" deleteColumns="0" deleteRows="0" sort="0" autoFilter="0" pivotTables="0"/>
  <mergeCells count="227">
    <mergeCell ref="Z2:Z3"/>
    <mergeCell ref="AA2:AA3"/>
    <mergeCell ref="AB2:AB3"/>
    <mergeCell ref="AC2:AC3"/>
    <mergeCell ref="AD2:AG2"/>
    <mergeCell ref="AH2:AK2"/>
    <mergeCell ref="T2:V2"/>
    <mergeCell ref="W2:X2"/>
    <mergeCell ref="Y2:Y3"/>
    <mergeCell ref="T182:T183"/>
    <mergeCell ref="U182:U183"/>
    <mergeCell ref="V182:V183"/>
    <mergeCell ref="Y182:Y183"/>
    <mergeCell ref="T192:T194"/>
    <mergeCell ref="U192:U194"/>
    <mergeCell ref="V192:V194"/>
    <mergeCell ref="Y192:Y194"/>
    <mergeCell ref="T185:T186"/>
    <mergeCell ref="U185:U186"/>
    <mergeCell ref="V185:V186"/>
    <mergeCell ref="Y185:Y186"/>
    <mergeCell ref="T188:T190"/>
    <mergeCell ref="U188:U190"/>
    <mergeCell ref="V188:V190"/>
    <mergeCell ref="Y188:Y190"/>
    <mergeCell ref="T171:T172"/>
    <mergeCell ref="U171:U172"/>
    <mergeCell ref="V171:V172"/>
    <mergeCell ref="Y171:Y172"/>
    <mergeCell ref="T178:T180"/>
    <mergeCell ref="U178:U180"/>
    <mergeCell ref="V178:V180"/>
    <mergeCell ref="Y178:Y180"/>
    <mergeCell ref="T174:T176"/>
    <mergeCell ref="U174:U176"/>
    <mergeCell ref="V174:V176"/>
    <mergeCell ref="Y174:Y176"/>
    <mergeCell ref="T160:T161"/>
    <mergeCell ref="U160:U161"/>
    <mergeCell ref="V160:V161"/>
    <mergeCell ref="Y160:Y161"/>
    <mergeCell ref="T167:T169"/>
    <mergeCell ref="U167:U169"/>
    <mergeCell ref="V167:V169"/>
    <mergeCell ref="Y167:Y169"/>
    <mergeCell ref="T163:T165"/>
    <mergeCell ref="U163:U165"/>
    <mergeCell ref="V163:V165"/>
    <mergeCell ref="Y163:Y165"/>
    <mergeCell ref="T7:T9"/>
    <mergeCell ref="U7:U9"/>
    <mergeCell ref="V7:V9"/>
    <mergeCell ref="Y7:Y9"/>
    <mergeCell ref="U140:U142"/>
    <mergeCell ref="V140:V142"/>
    <mergeCell ref="Y140:Y142"/>
    <mergeCell ref="T140:T142"/>
    <mergeCell ref="T117:T119"/>
    <mergeCell ref="U117:U119"/>
    <mergeCell ref="V117:V119"/>
    <mergeCell ref="T132:T134"/>
    <mergeCell ref="U132:U134"/>
    <mergeCell ref="V132:V134"/>
    <mergeCell ref="Y132:Y134"/>
    <mergeCell ref="T128:T130"/>
    <mergeCell ref="Y117:Y119"/>
    <mergeCell ref="U128:U130"/>
    <mergeCell ref="V128:V130"/>
    <mergeCell ref="Y128:Y130"/>
    <mergeCell ref="T136:T138"/>
    <mergeCell ref="U136:U138"/>
    <mergeCell ref="V136:V138"/>
    <mergeCell ref="Y136:Y138"/>
    <mergeCell ref="T80:T82"/>
    <mergeCell ref="U80:U82"/>
    <mergeCell ref="V80:V82"/>
    <mergeCell ref="Y80:Y82"/>
    <mergeCell ref="T64:T66"/>
    <mergeCell ref="U64:U66"/>
    <mergeCell ref="V64:V66"/>
    <mergeCell ref="Y64:Y66"/>
    <mergeCell ref="T84:T86"/>
    <mergeCell ref="U84:U86"/>
    <mergeCell ref="V84:V86"/>
    <mergeCell ref="Y84:Y86"/>
    <mergeCell ref="T68:T70"/>
    <mergeCell ref="U68:U70"/>
    <mergeCell ref="V68:V70"/>
    <mergeCell ref="Y68:Y70"/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K2:K3"/>
    <mergeCell ref="L2:L3"/>
    <mergeCell ref="M2:M3"/>
    <mergeCell ref="N2:O3"/>
    <mergeCell ref="P2:P3"/>
    <mergeCell ref="Q2:Q3"/>
    <mergeCell ref="R2:R3"/>
    <mergeCell ref="T24:T26"/>
    <mergeCell ref="U24:U26"/>
    <mergeCell ref="V24:V26"/>
    <mergeCell ref="Y24:Y28"/>
    <mergeCell ref="T30:T32"/>
    <mergeCell ref="U30:U32"/>
    <mergeCell ref="V30:V32"/>
    <mergeCell ref="Y30:Y32"/>
    <mergeCell ref="T34:T35"/>
    <mergeCell ref="U34:U35"/>
    <mergeCell ref="V34:V35"/>
    <mergeCell ref="Y34:Y35"/>
    <mergeCell ref="T11:T14"/>
    <mergeCell ref="U11:U14"/>
    <mergeCell ref="V11:V14"/>
    <mergeCell ref="Y11:Y14"/>
    <mergeCell ref="T16:T19"/>
    <mergeCell ref="U16:U19"/>
    <mergeCell ref="V16:V19"/>
    <mergeCell ref="Y16:Y19"/>
    <mergeCell ref="T21:T22"/>
    <mergeCell ref="U21:U22"/>
    <mergeCell ref="V21:V22"/>
    <mergeCell ref="Y21:Y22"/>
    <mergeCell ref="T37:T38"/>
    <mergeCell ref="U37:U38"/>
    <mergeCell ref="V37:V38"/>
    <mergeCell ref="Y37:Y38"/>
    <mergeCell ref="T40:T41"/>
    <mergeCell ref="U40:U41"/>
    <mergeCell ref="V40:V41"/>
    <mergeCell ref="Y40:Y41"/>
    <mergeCell ref="T43:T45"/>
    <mergeCell ref="U43:U45"/>
    <mergeCell ref="V43:V45"/>
    <mergeCell ref="Y43:Y45"/>
    <mergeCell ref="T51:T52"/>
    <mergeCell ref="U51:U52"/>
    <mergeCell ref="V51:V52"/>
    <mergeCell ref="Y51:Y52"/>
    <mergeCell ref="T54:T55"/>
    <mergeCell ref="U54:U55"/>
    <mergeCell ref="V54:V55"/>
    <mergeCell ref="Y54:Y55"/>
    <mergeCell ref="T47:T49"/>
    <mergeCell ref="U47:U49"/>
    <mergeCell ref="V47:V49"/>
    <mergeCell ref="Y47:Y49"/>
    <mergeCell ref="T57:T58"/>
    <mergeCell ref="U57:U58"/>
    <mergeCell ref="V57:V58"/>
    <mergeCell ref="Y57:Y58"/>
    <mergeCell ref="T60:T62"/>
    <mergeCell ref="U60:U62"/>
    <mergeCell ref="V60:V62"/>
    <mergeCell ref="Y60:Y62"/>
    <mergeCell ref="T92:T93"/>
    <mergeCell ref="U92:U93"/>
    <mergeCell ref="V92:V93"/>
    <mergeCell ref="Y92:Y93"/>
    <mergeCell ref="T88:T90"/>
    <mergeCell ref="U88:U90"/>
    <mergeCell ref="V88:V90"/>
    <mergeCell ref="Y88:Y90"/>
    <mergeCell ref="T72:T74"/>
    <mergeCell ref="U72:U74"/>
    <mergeCell ref="V72:V74"/>
    <mergeCell ref="Y72:Y74"/>
    <mergeCell ref="T76:T78"/>
    <mergeCell ref="U76:U78"/>
    <mergeCell ref="V76:V78"/>
    <mergeCell ref="Y76:Y78"/>
    <mergeCell ref="T95:T97"/>
    <mergeCell ref="U95:U97"/>
    <mergeCell ref="V95:V97"/>
    <mergeCell ref="Y95:Y97"/>
    <mergeCell ref="T99:T104"/>
    <mergeCell ref="U99:U104"/>
    <mergeCell ref="V99:V104"/>
    <mergeCell ref="Y99:Y104"/>
    <mergeCell ref="T106:T108"/>
    <mergeCell ref="U106:U108"/>
    <mergeCell ref="V106:V108"/>
    <mergeCell ref="Y106:Y108"/>
    <mergeCell ref="T110:T111"/>
    <mergeCell ref="U110:U111"/>
    <mergeCell ref="V110:V111"/>
    <mergeCell ref="Y110:Y111"/>
    <mergeCell ref="T113:T115"/>
    <mergeCell ref="U113:U115"/>
    <mergeCell ref="V113:V115"/>
    <mergeCell ref="Y113:Y115"/>
    <mergeCell ref="T121:T122"/>
    <mergeCell ref="U121:U122"/>
    <mergeCell ref="V121:V122"/>
    <mergeCell ref="Y121:Y122"/>
    <mergeCell ref="T196:T197"/>
    <mergeCell ref="U196:U197"/>
    <mergeCell ref="V196:V197"/>
    <mergeCell ref="Y196:Y197"/>
    <mergeCell ref="T124:T126"/>
    <mergeCell ref="U124:U126"/>
    <mergeCell ref="V124:V126"/>
    <mergeCell ref="Y124:Y126"/>
    <mergeCell ref="T144:T145"/>
    <mergeCell ref="U144:U145"/>
    <mergeCell ref="V144:V145"/>
    <mergeCell ref="Y144:Y145"/>
    <mergeCell ref="T147:T150"/>
    <mergeCell ref="U147:U150"/>
    <mergeCell ref="V147:V150"/>
    <mergeCell ref="Y147:Y150"/>
    <mergeCell ref="T156:T158"/>
    <mergeCell ref="U156:U158"/>
    <mergeCell ref="V156:V158"/>
    <mergeCell ref="Y156:Y158"/>
    <mergeCell ref="T152:T154"/>
    <mergeCell ref="U152:U154"/>
    <mergeCell ref="V152:V154"/>
    <mergeCell ref="Y152:Y154"/>
  </mergeCells>
  <phoneticPr fontId="5" type="noConversion"/>
  <conditionalFormatting sqref="Q199:S65066">
    <cfRule type="expression" dxfId="172" priority="123" stopIfTrue="1">
      <formula>AND(Q199&lt;&gt;"",OR(Q199=0,Q199="-"))</formula>
    </cfRule>
  </conditionalFormatting>
  <conditionalFormatting sqref="Q27:S28 P4:S4">
    <cfRule type="expression" dxfId="171" priority="120" stopIfTrue="1">
      <formula>AND(P4&lt;&gt;"",OR(P4&lt;=0,P4="-"))</formula>
    </cfRule>
  </conditionalFormatting>
  <conditionalFormatting sqref="Q102:S104 Q198:S198">
    <cfRule type="expression" dxfId="170" priority="121" stopIfTrue="1">
      <formula>AND(Q102&lt;&gt;"",OR(Q102=0,Q102="-"))</formula>
    </cfRule>
  </conditionalFormatting>
  <conditionalFormatting sqref="O102:O104">
    <cfRule type="expression" dxfId="169" priority="122" stopIfTrue="1">
      <formula>O102&gt;=105</formula>
    </cfRule>
  </conditionalFormatting>
  <conditionalFormatting sqref="Q6:S6">
    <cfRule type="expression" dxfId="168" priority="119" stopIfTrue="1">
      <formula>AND(Q6&lt;&gt;"",OR(Q6&lt;=0,Q6="-"))</formula>
    </cfRule>
  </conditionalFormatting>
  <conditionalFormatting sqref="Q20:S20">
    <cfRule type="expression" dxfId="167" priority="118" stopIfTrue="1">
      <formula>AND(Q20&lt;&gt;"",OR(Q20&lt;=0,Q20="-"))</formula>
    </cfRule>
  </conditionalFormatting>
  <conditionalFormatting sqref="Q29:S29">
    <cfRule type="expression" dxfId="166" priority="117" stopIfTrue="1">
      <formula>AND(Q29&lt;&gt;"",OR(Q29&lt;=0,Q29="-"))</formula>
    </cfRule>
  </conditionalFormatting>
  <conditionalFormatting sqref="Q33:S33">
    <cfRule type="expression" dxfId="165" priority="116" stopIfTrue="1">
      <formula>AND(Q33&lt;&gt;"",OR(Q33&lt;=0,Q33="-"))</formula>
    </cfRule>
  </conditionalFormatting>
  <conditionalFormatting sqref="Q36:S36">
    <cfRule type="expression" dxfId="164" priority="115" stopIfTrue="1">
      <formula>AND(Q36&lt;&gt;"",OR(Q36&lt;=0,Q36="-"))</formula>
    </cfRule>
  </conditionalFormatting>
  <conditionalFormatting sqref="Q39:S39">
    <cfRule type="expression" dxfId="163" priority="114" stopIfTrue="1">
      <formula>AND(Q39&lt;&gt;"",OR(Q39&lt;=0,Q39="-"))</formula>
    </cfRule>
  </conditionalFormatting>
  <conditionalFormatting sqref="Q42:S42">
    <cfRule type="expression" dxfId="162" priority="113" stopIfTrue="1">
      <formula>AND(Q42&lt;&gt;"",OR(Q42&lt;=0,Q42="-"))</formula>
    </cfRule>
  </conditionalFormatting>
  <conditionalFormatting sqref="Q46:S46">
    <cfRule type="expression" dxfId="161" priority="112" stopIfTrue="1">
      <formula>AND(Q46&lt;&gt;"",OR(Q46&lt;=0,Q46="-"))</formula>
    </cfRule>
  </conditionalFormatting>
  <conditionalFormatting sqref="Q50:S50">
    <cfRule type="expression" dxfId="160" priority="111" stopIfTrue="1">
      <formula>AND(Q50&lt;&gt;"",OR(Q50&lt;=0,Q50="-"))</formula>
    </cfRule>
  </conditionalFormatting>
  <conditionalFormatting sqref="Q53:S53">
    <cfRule type="expression" dxfId="159" priority="110" stopIfTrue="1">
      <formula>AND(Q53&lt;&gt;"",OR(Q53&lt;=0,Q53="-"))</formula>
    </cfRule>
  </conditionalFormatting>
  <conditionalFormatting sqref="Q56:S56">
    <cfRule type="expression" dxfId="158" priority="109" stopIfTrue="1">
      <formula>AND(Q56&lt;&gt;"",OR(Q56&lt;=0,Q56="-"))</formula>
    </cfRule>
  </conditionalFormatting>
  <conditionalFormatting sqref="Q59:S59">
    <cfRule type="expression" dxfId="157" priority="108" stopIfTrue="1">
      <formula>AND(Q59&lt;&gt;"",OR(Q59&lt;=0,Q59="-"))</formula>
    </cfRule>
  </conditionalFormatting>
  <conditionalFormatting sqref="Q63:S63">
    <cfRule type="expression" dxfId="156" priority="107" stopIfTrue="1">
      <formula>AND(Q63&lt;&gt;"",OR(Q63&lt;=0,Q63="-"))</formula>
    </cfRule>
  </conditionalFormatting>
  <conditionalFormatting sqref="Q67:S67">
    <cfRule type="expression" dxfId="155" priority="106" stopIfTrue="1">
      <formula>AND(Q67&lt;&gt;"",OR(Q67&lt;=0,Q67="-"))</formula>
    </cfRule>
  </conditionalFormatting>
  <conditionalFormatting sqref="Q71:S71">
    <cfRule type="expression" dxfId="154" priority="105" stopIfTrue="1">
      <formula>AND(Q71&lt;&gt;"",OR(Q71&lt;=0,Q71="-"))</formula>
    </cfRule>
  </conditionalFormatting>
  <conditionalFormatting sqref="Q75:S75">
    <cfRule type="expression" dxfId="153" priority="104" stopIfTrue="1">
      <formula>AND(Q75&lt;&gt;"",OR(Q75&lt;=0,Q75="-"))</formula>
    </cfRule>
  </conditionalFormatting>
  <conditionalFormatting sqref="Q79:S79">
    <cfRule type="expression" dxfId="152" priority="103" stopIfTrue="1">
      <formula>AND(Q79&lt;&gt;"",OR(Q79&lt;=0,Q79="-"))</formula>
    </cfRule>
  </conditionalFormatting>
  <conditionalFormatting sqref="Q83:S83">
    <cfRule type="expression" dxfId="151" priority="102" stopIfTrue="1">
      <formula>AND(Q83&lt;&gt;"",OR(Q83&lt;=0,Q83="-"))</formula>
    </cfRule>
  </conditionalFormatting>
  <conditionalFormatting sqref="Q87:S87">
    <cfRule type="expression" dxfId="150" priority="101" stopIfTrue="1">
      <formula>AND(Q87&lt;&gt;"",OR(Q87&lt;=0,Q87="-"))</formula>
    </cfRule>
  </conditionalFormatting>
  <conditionalFormatting sqref="Q91:S91">
    <cfRule type="expression" dxfId="149" priority="100" stopIfTrue="1">
      <formula>AND(Q91&lt;&gt;"",OR(Q91&lt;=0,Q91="-"))</formula>
    </cfRule>
  </conditionalFormatting>
  <conditionalFormatting sqref="Q146:S146">
    <cfRule type="expression" dxfId="148" priority="89" stopIfTrue="1">
      <formula>AND(Q146&lt;&gt;"",OR(Q146&lt;=0,Q146="-"))</formula>
    </cfRule>
  </conditionalFormatting>
  <conditionalFormatting sqref="Q120:S120">
    <cfRule type="expression" dxfId="147" priority="94" stopIfTrue="1">
      <formula>AND(Q120&lt;&gt;"",OR(Q120&lt;=0,Q120="-"))</formula>
    </cfRule>
  </conditionalFormatting>
  <conditionalFormatting sqref="Q127:S127">
    <cfRule type="expression" dxfId="146" priority="93" stopIfTrue="1">
      <formula>AND(Q127&lt;&gt;"",OR(Q127&lt;=0,Q127="-"))</formula>
    </cfRule>
  </conditionalFormatting>
  <conditionalFormatting sqref="Q98:S98">
    <cfRule type="expression" dxfId="145" priority="99" stopIfTrue="1">
      <formula>AND(Q98&lt;&gt;"",OR(Q98&lt;=0,Q98="-"))</formula>
    </cfRule>
  </conditionalFormatting>
  <conditionalFormatting sqref="Q105:S105">
    <cfRule type="expression" dxfId="144" priority="98" stopIfTrue="1">
      <formula>AND(Q105&lt;&gt;"",OR(Q105&lt;=0,Q105="-"))</formula>
    </cfRule>
  </conditionalFormatting>
  <conditionalFormatting sqref="Q109:S109">
    <cfRule type="expression" dxfId="143" priority="97" stopIfTrue="1">
      <formula>AND(Q109&lt;&gt;"",OR(Q109&lt;=0,Q109="-"))</formula>
    </cfRule>
  </conditionalFormatting>
  <conditionalFormatting sqref="Q112:S112">
    <cfRule type="expression" dxfId="142" priority="96" stopIfTrue="1">
      <formula>AND(Q112&lt;&gt;"",OR(Q112&lt;=0,Q112="-"))</formula>
    </cfRule>
  </conditionalFormatting>
  <conditionalFormatting sqref="Q116:S116">
    <cfRule type="expression" dxfId="141" priority="95" stopIfTrue="1">
      <formula>AND(Q116&lt;&gt;"",OR(Q116&lt;=0,Q116="-"))</formula>
    </cfRule>
  </conditionalFormatting>
  <conditionalFormatting sqref="Q143:S143">
    <cfRule type="expression" dxfId="140" priority="90" stopIfTrue="1">
      <formula>AND(Q143&lt;&gt;"",OR(Q143&lt;=0,Q143="-"))</formula>
    </cfRule>
  </conditionalFormatting>
  <conditionalFormatting sqref="Q195:S195">
    <cfRule type="expression" dxfId="139" priority="77" stopIfTrue="1">
      <formula>AND(Q195&lt;&gt;"",OR(Q195&lt;=0,Q195="-"))</formula>
    </cfRule>
  </conditionalFormatting>
  <conditionalFormatting sqref="Q187:S187">
    <cfRule type="expression" dxfId="138" priority="78" stopIfTrue="1">
      <formula>AND(Q187&lt;&gt;"",OR(Q187&lt;=0,Q187="-"))</formula>
    </cfRule>
  </conditionalFormatting>
  <conditionalFormatting sqref="Q135:S135">
    <cfRule type="expression" dxfId="137" priority="92" stopIfTrue="1">
      <formula>AND(Q135&lt;&gt;"",OR(Q135&lt;=0,Q135="-"))</formula>
    </cfRule>
  </conditionalFormatting>
  <conditionalFormatting sqref="Q139:S139">
    <cfRule type="expression" dxfId="136" priority="91" stopIfTrue="1">
      <formula>AND(Q139&lt;&gt;"",OR(Q139&lt;=0,Q139="-"))</formula>
    </cfRule>
  </conditionalFormatting>
  <conditionalFormatting sqref="Q151:S151">
    <cfRule type="expression" dxfId="135" priority="88" stopIfTrue="1">
      <formula>AND(Q151&lt;&gt;"",OR(Q151&lt;=0,Q151="-"))</formula>
    </cfRule>
  </conditionalFormatting>
  <conditionalFormatting sqref="Q155:S155">
    <cfRule type="expression" dxfId="134" priority="87" stopIfTrue="1">
      <formula>AND(Q155&lt;&gt;"",OR(Q155&lt;=0,Q155="-"))</formula>
    </cfRule>
  </conditionalFormatting>
  <conditionalFormatting sqref="Q159:S159">
    <cfRule type="expression" dxfId="133" priority="86" stopIfTrue="1">
      <formula>AND(Q159&lt;&gt;"",OR(Q159&lt;=0,Q159="-"))</formula>
    </cfRule>
  </conditionalFormatting>
  <conditionalFormatting sqref="Q162:S162">
    <cfRule type="expression" dxfId="132" priority="85" stopIfTrue="1">
      <formula>AND(Q162&lt;&gt;"",OR(Q162&lt;=0,Q162="-"))</formula>
    </cfRule>
  </conditionalFormatting>
  <conditionalFormatting sqref="Q166:S166">
    <cfRule type="expression" dxfId="131" priority="84" stopIfTrue="1">
      <formula>AND(Q166&lt;&gt;"",OR(Q166&lt;=0,Q166="-"))</formula>
    </cfRule>
  </conditionalFormatting>
  <conditionalFormatting sqref="Q170:S170">
    <cfRule type="expression" dxfId="130" priority="83" stopIfTrue="1">
      <formula>AND(Q170&lt;&gt;"",OR(Q170&lt;=0,Q170="-"))</formula>
    </cfRule>
  </conditionalFormatting>
  <conditionalFormatting sqref="Q173:S173">
    <cfRule type="expression" dxfId="129" priority="82" stopIfTrue="1">
      <formula>AND(Q173&lt;&gt;"",OR(Q173&lt;=0,Q173="-"))</formula>
    </cfRule>
  </conditionalFormatting>
  <conditionalFormatting sqref="Q177:S177">
    <cfRule type="expression" dxfId="128" priority="81" stopIfTrue="1">
      <formula>AND(Q177&lt;&gt;"",OR(Q177&lt;=0,Q177="-"))</formula>
    </cfRule>
  </conditionalFormatting>
  <conditionalFormatting sqref="Q181:S181">
    <cfRule type="expression" dxfId="127" priority="80" stopIfTrue="1">
      <formula>AND(Q181&lt;&gt;"",OR(Q181&lt;=0,Q181="-"))</formula>
    </cfRule>
  </conditionalFormatting>
  <conditionalFormatting sqref="Q184:S184">
    <cfRule type="expression" dxfId="126" priority="79" stopIfTrue="1">
      <formula>AND(Q184&lt;&gt;"",OR(Q184&lt;=0,Q184="-"))</formula>
    </cfRule>
  </conditionalFormatting>
  <conditionalFormatting sqref="Q123:S123">
    <cfRule type="expression" dxfId="125" priority="76" stopIfTrue="1">
      <formula>AND(Q123&lt;&gt;"",OR(Q123&lt;=0,Q123="-"))</formula>
    </cfRule>
  </conditionalFormatting>
  <conditionalFormatting sqref="Q191:S191">
    <cfRule type="expression" dxfId="124" priority="75" stopIfTrue="1">
      <formula>AND(Q191&lt;&gt;"",OR(Q191&lt;=0,Q191="-"))</formula>
    </cfRule>
  </conditionalFormatting>
  <conditionalFormatting sqref="Q131:S131">
    <cfRule type="expression" dxfId="123" priority="74" stopIfTrue="1">
      <formula>AND(Q131&lt;&gt;"",OR(Q131&lt;=0,Q131="-"))</formula>
    </cfRule>
  </conditionalFormatting>
  <conditionalFormatting sqref="Q10:S10">
    <cfRule type="expression" dxfId="122" priority="73" stopIfTrue="1">
      <formula>AND(Q10&lt;&gt;"",OR(Q10&lt;=0,Q10="-"))</formula>
    </cfRule>
  </conditionalFormatting>
  <conditionalFormatting sqref="Q15:S15">
    <cfRule type="expression" dxfId="121" priority="72" stopIfTrue="1">
      <formula>AND(Q15&lt;&gt;"",OR(Q15&lt;=0,Q15="-"))</formula>
    </cfRule>
  </conditionalFormatting>
  <conditionalFormatting sqref="Q7:S7 Q9:S9 P8:S8">
    <cfRule type="expression" dxfId="120" priority="71" stopIfTrue="1">
      <formula>AND(P7&lt;&gt;"",OR(P7&lt;=0,P7="-"))</formula>
    </cfRule>
  </conditionalFormatting>
  <conditionalFormatting sqref="Q24:S24 Q26:S26 P25:S25">
    <cfRule type="expression" dxfId="119" priority="70" stopIfTrue="1">
      <formula>AND(P24&lt;&gt;"",OR(P24&lt;=0,P24="-"))</formula>
    </cfRule>
  </conditionalFormatting>
  <conditionalFormatting sqref="Q30:S30 Q32:S32 P31:S31">
    <cfRule type="expression" dxfId="118" priority="69" stopIfTrue="1">
      <formula>AND(P30&lt;&gt;"",OR(P30&lt;=0,P30="-"))</formula>
    </cfRule>
  </conditionalFormatting>
  <conditionalFormatting sqref="Q43:S43 Q45:S45 P44:S44">
    <cfRule type="expression" dxfId="117" priority="68" stopIfTrue="1">
      <formula>AND(P43&lt;&gt;"",OR(P43&lt;=0,P43="-"))</formula>
    </cfRule>
  </conditionalFormatting>
  <conditionalFormatting sqref="Q47:S47 Q49:S49 P48:S48">
    <cfRule type="expression" dxfId="116" priority="67" stopIfTrue="1">
      <formula>AND(P47&lt;&gt;"",OR(P47&lt;=0,P47="-"))</formula>
    </cfRule>
  </conditionalFormatting>
  <conditionalFormatting sqref="Q60:S60 Q62:S62 P61:S61">
    <cfRule type="expression" dxfId="115" priority="66" stopIfTrue="1">
      <formula>AND(P60&lt;&gt;"",OR(P60&lt;=0,P60="-"))</formula>
    </cfRule>
  </conditionalFormatting>
  <conditionalFormatting sqref="Q64:S64 Q66:S66 P65:S65">
    <cfRule type="expression" dxfId="114" priority="65" stopIfTrue="1">
      <formula>AND(P64&lt;&gt;"",OR(P64&lt;=0,P64="-"))</formula>
    </cfRule>
  </conditionalFormatting>
  <conditionalFormatting sqref="Q68:S68 Q70:S70 P69:S69">
    <cfRule type="expression" dxfId="113" priority="64" stopIfTrue="1">
      <formula>AND(P68&lt;&gt;"",OR(P68&lt;=0,P68="-"))</formula>
    </cfRule>
  </conditionalFormatting>
  <conditionalFormatting sqref="Q72:S72 Q74:S74 P73:S73">
    <cfRule type="expression" dxfId="112" priority="63" stopIfTrue="1">
      <formula>AND(P72&lt;&gt;"",OR(P72&lt;=0,P72="-"))</formula>
    </cfRule>
  </conditionalFormatting>
  <conditionalFormatting sqref="Q76:S76 Q78:S78 P77:S77">
    <cfRule type="expression" dxfId="111" priority="62" stopIfTrue="1">
      <formula>AND(P76&lt;&gt;"",OR(P76&lt;=0,P76="-"))</formula>
    </cfRule>
  </conditionalFormatting>
  <conditionalFormatting sqref="Q80:S80 Q82:S82 P81:S81">
    <cfRule type="expression" dxfId="110" priority="61" stopIfTrue="1">
      <formula>AND(P80&lt;&gt;"",OR(P80&lt;=0,P80="-"))</formula>
    </cfRule>
  </conditionalFormatting>
  <conditionalFormatting sqref="Q84:S84 Q86:S86 P85:S85">
    <cfRule type="expression" dxfId="109" priority="60" stopIfTrue="1">
      <formula>AND(P84&lt;&gt;"",OR(P84&lt;=0,P84="-"))</formula>
    </cfRule>
  </conditionalFormatting>
  <conditionalFormatting sqref="Q88:S88 Q90:S90 P89:S89">
    <cfRule type="expression" dxfId="108" priority="59" stopIfTrue="1">
      <formula>AND(P88&lt;&gt;"",OR(P88&lt;=0,P88="-"))</formula>
    </cfRule>
  </conditionalFormatting>
  <conditionalFormatting sqref="Q99:S99 Q101:S101 P100:S100">
    <cfRule type="expression" dxfId="107" priority="58" stopIfTrue="1">
      <formula>AND(P99&lt;&gt;"",OR(P99&lt;=0,P99="-"))</formula>
    </cfRule>
  </conditionalFormatting>
  <conditionalFormatting sqref="Q106:S106 Q108:S108 P107:S107">
    <cfRule type="expression" dxfId="106" priority="57" stopIfTrue="1">
      <formula>AND(P106&lt;&gt;"",OR(P106&lt;=0,P106="-"))</formula>
    </cfRule>
  </conditionalFormatting>
  <conditionalFormatting sqref="Q113:S113 Q115:S115 P114:S114">
    <cfRule type="expression" dxfId="105" priority="56" stopIfTrue="1">
      <formula>AND(P113&lt;&gt;"",OR(P113&lt;=0,P113="-"))</formula>
    </cfRule>
  </conditionalFormatting>
  <conditionalFormatting sqref="Q117:S117 Q119:S119 P118:S118">
    <cfRule type="expression" dxfId="104" priority="55" stopIfTrue="1">
      <formula>AND(P117&lt;&gt;"",OR(P117&lt;=0,P117="-"))</formula>
    </cfRule>
  </conditionalFormatting>
  <conditionalFormatting sqref="Q128:S128 Q130:S130 P129:S129">
    <cfRule type="expression" dxfId="103" priority="54" stopIfTrue="1">
      <formula>AND(P128&lt;&gt;"",OR(P128&lt;=0,P128="-"))</formula>
    </cfRule>
  </conditionalFormatting>
  <conditionalFormatting sqref="Q124:S124 Q126:S126 P125:S125">
    <cfRule type="expression" dxfId="102" priority="53" stopIfTrue="1">
      <formula>AND(P124&lt;&gt;"",OR(P124&lt;=0,P124="-"))</formula>
    </cfRule>
  </conditionalFormatting>
  <conditionalFormatting sqref="Q132:S132 Q134:S134 P133:S133">
    <cfRule type="expression" dxfId="101" priority="52" stopIfTrue="1">
      <formula>AND(P132&lt;&gt;"",OR(P132&lt;=0,P132="-"))</formula>
    </cfRule>
  </conditionalFormatting>
  <conditionalFormatting sqref="Q136:S136 Q138:S138 P137:S137">
    <cfRule type="expression" dxfId="100" priority="51" stopIfTrue="1">
      <formula>AND(P136&lt;&gt;"",OR(P136&lt;=0,P136="-"))</formula>
    </cfRule>
  </conditionalFormatting>
  <conditionalFormatting sqref="Q140:S140 Q142:S142 P141:S141">
    <cfRule type="expression" dxfId="99" priority="50" stopIfTrue="1">
      <formula>AND(P140&lt;&gt;"",OR(P140&lt;=0,P140="-"))</formula>
    </cfRule>
  </conditionalFormatting>
  <conditionalFormatting sqref="Q152:S152 Q154:S154 P153:S153">
    <cfRule type="expression" dxfId="98" priority="49" stopIfTrue="1">
      <formula>AND(P152&lt;&gt;"",OR(P152&lt;=0,P152="-"))</formula>
    </cfRule>
  </conditionalFormatting>
  <conditionalFormatting sqref="Q156:S156 Q158:S158 P157:S157">
    <cfRule type="expression" dxfId="97" priority="48" stopIfTrue="1">
      <formula>AND(P156&lt;&gt;"",OR(P156&lt;=0,P156="-"))</formula>
    </cfRule>
  </conditionalFormatting>
  <conditionalFormatting sqref="Q163:S163 Q165:S165 P164:S164">
    <cfRule type="expression" dxfId="96" priority="47" stopIfTrue="1">
      <formula>AND(P163&lt;&gt;"",OR(P163&lt;=0,P163="-"))</formula>
    </cfRule>
  </conditionalFormatting>
  <conditionalFormatting sqref="Q167:S167 Q169:S169 P168:S168">
    <cfRule type="expression" dxfId="95" priority="46" stopIfTrue="1">
      <formula>AND(P167&lt;&gt;"",OR(P167&lt;=0,P167="-"))</formula>
    </cfRule>
  </conditionalFormatting>
  <conditionalFormatting sqref="Q174:S174 Q176:S176 P175:S175">
    <cfRule type="expression" dxfId="94" priority="45" stopIfTrue="1">
      <formula>AND(P174&lt;&gt;"",OR(P174&lt;=0,P174="-"))</formula>
    </cfRule>
  </conditionalFormatting>
  <conditionalFormatting sqref="Q178:S178 Q180:S180 P179:S179">
    <cfRule type="expression" dxfId="93" priority="44" stopIfTrue="1">
      <formula>AND(P178&lt;&gt;"",OR(P178&lt;=0,P178="-"))</formula>
    </cfRule>
  </conditionalFormatting>
  <conditionalFormatting sqref="Q188:S188 Q190:S190 P189:S189">
    <cfRule type="expression" dxfId="92" priority="43" stopIfTrue="1">
      <formula>AND(P188&lt;&gt;"",OR(P188&lt;=0,P188="-"))</formula>
    </cfRule>
  </conditionalFormatting>
  <conditionalFormatting sqref="Q192:S192 Q194:S194 P193:S193">
    <cfRule type="expression" dxfId="91" priority="42" stopIfTrue="1">
      <formula>AND(P192&lt;&gt;"",OR(P192&lt;=0,P192="-"))</formula>
    </cfRule>
  </conditionalFormatting>
  <conditionalFormatting sqref="Q21:S21 P22:S22">
    <cfRule type="expression" dxfId="90" priority="41" stopIfTrue="1">
      <formula>AND(P21&lt;&gt;"",OR(P21&lt;=0,P21="-"))</formula>
    </cfRule>
  </conditionalFormatting>
  <conditionalFormatting sqref="Q34:S34 P35:S35">
    <cfRule type="expression" dxfId="89" priority="40" stopIfTrue="1">
      <formula>AND(P34&lt;&gt;"",OR(P34&lt;=0,P34="-"))</formula>
    </cfRule>
  </conditionalFormatting>
  <conditionalFormatting sqref="Q37:S37 P38:S38">
    <cfRule type="expression" dxfId="88" priority="39" stopIfTrue="1">
      <formula>AND(P37&lt;&gt;"",OR(P37&lt;=0,P37="-"))</formula>
    </cfRule>
  </conditionalFormatting>
  <conditionalFormatting sqref="Q40:S40 P41:S41">
    <cfRule type="expression" dxfId="87" priority="38" stopIfTrue="1">
      <formula>AND(P40&lt;&gt;"",OR(P40&lt;=0,P40="-"))</formula>
    </cfRule>
  </conditionalFormatting>
  <conditionalFormatting sqref="Q51:S51 P52:S52">
    <cfRule type="expression" dxfId="86" priority="37" stopIfTrue="1">
      <formula>AND(P51&lt;&gt;"",OR(P51&lt;=0,P51="-"))</formula>
    </cfRule>
  </conditionalFormatting>
  <conditionalFormatting sqref="Q54:S54 P55:S55">
    <cfRule type="expression" dxfId="85" priority="36" stopIfTrue="1">
      <formula>AND(P54&lt;&gt;"",OR(P54&lt;=0,P54="-"))</formula>
    </cfRule>
  </conditionalFormatting>
  <conditionalFormatting sqref="Q57:S57 P58:S58">
    <cfRule type="expression" dxfId="84" priority="35" stopIfTrue="1">
      <formula>AND(P57&lt;&gt;"",OR(P57&lt;=0,P57="-"))</formula>
    </cfRule>
  </conditionalFormatting>
  <conditionalFormatting sqref="Q92:S92 P93:S93">
    <cfRule type="expression" dxfId="83" priority="34" stopIfTrue="1">
      <formula>AND(P92&lt;&gt;"",OR(P92&lt;=0,P92="-"))</formula>
    </cfRule>
  </conditionalFormatting>
  <conditionalFormatting sqref="Q110:S110 P111:R111">
    <cfRule type="expression" dxfId="82" priority="33" stopIfTrue="1">
      <formula>AND(P110&lt;&gt;"",OR(P110&lt;=0,P110="-"))</formula>
    </cfRule>
  </conditionalFormatting>
  <conditionalFormatting sqref="Q121:S121 P122:S122">
    <cfRule type="expression" dxfId="81" priority="32" stopIfTrue="1">
      <formula>AND(P121&lt;&gt;"",OR(P121&lt;=0,P121="-"))</formula>
    </cfRule>
  </conditionalFormatting>
  <conditionalFormatting sqref="Q144:S144 P145:S145">
    <cfRule type="expression" dxfId="80" priority="31" stopIfTrue="1">
      <formula>AND(P144&lt;&gt;"",OR(P144&lt;=0,P144="-"))</formula>
    </cfRule>
  </conditionalFormatting>
  <conditionalFormatting sqref="Q160:S160 P161:S161">
    <cfRule type="expression" dxfId="79" priority="30" stopIfTrue="1">
      <formula>AND(P160&lt;&gt;"",OR(P160&lt;=0,P160="-"))</formula>
    </cfRule>
  </conditionalFormatting>
  <conditionalFormatting sqref="Q171:S171 P172:S172">
    <cfRule type="expression" dxfId="78" priority="29" stopIfTrue="1">
      <formula>AND(P171&lt;&gt;"",OR(P171&lt;=0,P171="-"))</formula>
    </cfRule>
  </conditionalFormatting>
  <conditionalFormatting sqref="Q182:S182 P183:S183">
    <cfRule type="expression" dxfId="77" priority="28" stopIfTrue="1">
      <formula>AND(P182&lt;&gt;"",OR(P182&lt;=0,P182="-"))</formula>
    </cfRule>
  </conditionalFormatting>
  <conditionalFormatting sqref="Q185:S185 P186:S186">
    <cfRule type="expression" dxfId="76" priority="27" stopIfTrue="1">
      <formula>AND(P185&lt;&gt;"",OR(P185&lt;=0,P185="-"))</formula>
    </cfRule>
  </conditionalFormatting>
  <conditionalFormatting sqref="Q196:S196 P197:S197">
    <cfRule type="expression" dxfId="75" priority="26" stopIfTrue="1">
      <formula>AND(P196&lt;&gt;"",OR(P196&lt;=0,P196="-"))</formula>
    </cfRule>
  </conditionalFormatting>
  <conditionalFormatting sqref="P12">
    <cfRule type="expression" dxfId="74" priority="25" stopIfTrue="1">
      <formula>AND(P12&lt;&gt;"",OR(P12&lt;=0,P12="-"))</formula>
    </cfRule>
  </conditionalFormatting>
  <conditionalFormatting sqref="P13">
    <cfRule type="expression" dxfId="73" priority="24" stopIfTrue="1">
      <formula>AND(P13&lt;&gt;"",OR(P13&lt;=0,P13="-"))</formula>
    </cfRule>
  </conditionalFormatting>
  <conditionalFormatting sqref="Q12">
    <cfRule type="expression" dxfId="72" priority="23" stopIfTrue="1">
      <formula>AND(Q12&lt;&gt;"",OR(Q12&lt;=0,Q12="-"))</formula>
    </cfRule>
  </conditionalFormatting>
  <conditionalFormatting sqref="R12:S13">
    <cfRule type="expression" dxfId="71" priority="22" stopIfTrue="1">
      <formula>AND(R12&lt;&gt;"",OR(R12&lt;=0,R12="-"))</formula>
    </cfRule>
  </conditionalFormatting>
  <conditionalFormatting sqref="Q13">
    <cfRule type="expression" dxfId="70" priority="21" stopIfTrue="1">
      <formula>AND(Q13&lt;&gt;"",OR(Q13&lt;=0,Q13="-"))</formula>
    </cfRule>
  </conditionalFormatting>
  <conditionalFormatting sqref="Q14:S14">
    <cfRule type="expression" dxfId="69" priority="20" stopIfTrue="1">
      <formula>AND(Q14&lt;&gt;"",OR(Q14&lt;=0,Q14="-"))</formula>
    </cfRule>
  </conditionalFormatting>
  <conditionalFormatting sqref="Q11:S11">
    <cfRule type="expression" dxfId="68" priority="19" stopIfTrue="1">
      <formula>AND(Q11&lt;&gt;"",OR(Q11&lt;=0,Q11="-"))</formula>
    </cfRule>
  </conditionalFormatting>
  <conditionalFormatting sqref="P148">
    <cfRule type="expression" dxfId="67" priority="11" stopIfTrue="1">
      <formula>AND(P148&lt;&gt;"",OR(P148&lt;=0,P148="-"))</formula>
    </cfRule>
  </conditionalFormatting>
  <conditionalFormatting sqref="P149">
    <cfRule type="expression" dxfId="66" priority="10" stopIfTrue="1">
      <formula>AND(P149&lt;&gt;"",OR(P149&lt;=0,P149="-"))</formula>
    </cfRule>
  </conditionalFormatting>
  <conditionalFormatting sqref="Q148">
    <cfRule type="expression" dxfId="65" priority="9" stopIfTrue="1">
      <formula>AND(Q148&lt;&gt;"",OR(Q148&lt;=0,Q148="-"))</formula>
    </cfRule>
  </conditionalFormatting>
  <conditionalFormatting sqref="R148:S149">
    <cfRule type="expression" dxfId="64" priority="8" stopIfTrue="1">
      <formula>AND(R148&lt;&gt;"",OR(R148&lt;=0,R148="-"))</formula>
    </cfRule>
  </conditionalFormatting>
  <conditionalFormatting sqref="Q149">
    <cfRule type="expression" dxfId="63" priority="7" stopIfTrue="1">
      <formula>AND(Q149&lt;&gt;"",OR(Q149&lt;=0,Q149="-"))</formula>
    </cfRule>
  </conditionalFormatting>
  <conditionalFormatting sqref="Q150:S150">
    <cfRule type="expression" dxfId="62" priority="6" stopIfTrue="1">
      <formula>AND(Q150&lt;&gt;"",OR(Q150&lt;=0,Q150="-"))</formula>
    </cfRule>
  </conditionalFormatting>
  <conditionalFormatting sqref="Q147:S147">
    <cfRule type="expression" dxfId="61" priority="5" stopIfTrue="1">
      <formula>AND(Q147&lt;&gt;"",OR(Q147&lt;=0,Q147="-"))</formula>
    </cfRule>
  </conditionalFormatting>
  <conditionalFormatting sqref="P17">
    <cfRule type="expression" dxfId="60" priority="18" stopIfTrue="1">
      <formula>AND(P17&lt;&gt;"",OR(P17&lt;=0,P17="-"))</formula>
    </cfRule>
  </conditionalFormatting>
  <conditionalFormatting sqref="P18">
    <cfRule type="expression" dxfId="59" priority="17" stopIfTrue="1">
      <formula>AND(P18&lt;&gt;"",OR(P18&lt;=0,P18="-"))</formula>
    </cfRule>
  </conditionalFormatting>
  <conditionalFormatting sqref="Q17">
    <cfRule type="expression" dxfId="58" priority="16" stopIfTrue="1">
      <formula>AND(Q17&lt;&gt;"",OR(Q17&lt;=0,Q17="-"))</formula>
    </cfRule>
  </conditionalFormatting>
  <conditionalFormatting sqref="R17:S18">
    <cfRule type="expression" dxfId="57" priority="15" stopIfTrue="1">
      <formula>AND(R17&lt;&gt;"",OR(R17&lt;=0,R17="-"))</formula>
    </cfRule>
  </conditionalFormatting>
  <conditionalFormatting sqref="Q18">
    <cfRule type="expression" dxfId="56" priority="14" stopIfTrue="1">
      <formula>AND(Q18&lt;&gt;"",OR(Q18&lt;=0,Q18="-"))</formula>
    </cfRule>
  </conditionalFormatting>
  <conditionalFormatting sqref="Q19:S19">
    <cfRule type="expression" dxfId="55" priority="13" stopIfTrue="1">
      <formula>AND(Q19&lt;&gt;"",OR(Q19&lt;=0,Q19="-"))</formula>
    </cfRule>
  </conditionalFormatting>
  <conditionalFormatting sqref="Q16:S16">
    <cfRule type="expression" dxfId="54" priority="12" stopIfTrue="1">
      <formula>AND(Q16&lt;&gt;"",OR(Q16&lt;=0,Q16="-"))</formula>
    </cfRule>
  </conditionalFormatting>
  <conditionalFormatting sqref="Q94:S94">
    <cfRule type="expression" dxfId="53" priority="3" stopIfTrue="1">
      <formula>AND(Q94&lt;&gt;"",OR(Q94&lt;=0,Q94="-"))</formula>
    </cfRule>
  </conditionalFormatting>
  <conditionalFormatting sqref="Q95:S95 Q97:S97 P96:S96">
    <cfRule type="expression" dxfId="52" priority="2" stopIfTrue="1">
      <formula>AND(P95&lt;&gt;"",OR(P95&lt;=0,P95="-"))</formula>
    </cfRule>
  </conditionalFormatting>
  <conditionalFormatting sqref="Q23:S23">
    <cfRule type="expression" dxfId="51" priority="4" stopIfTrue="1">
      <formula>AND(Q23&lt;&gt;"",OR(Q23&lt;=0,Q23="-"))</formula>
    </cfRule>
  </conditionalFormatting>
  <conditionalFormatting sqref="S111">
    <cfRule type="expression" dxfId="50" priority="1" stopIfTrue="1">
      <formula>AND(S111&lt;&gt;"",OR(S111&lt;=0,S111="-"))</formula>
    </cfRule>
  </conditionalFormatting>
  <pageMargins left="0.31496062992125984" right="0.31496062992125984" top="0.74803149606299213" bottom="0.35433070866141736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zoomScale="65" zoomScaleNormal="65" workbookViewId="0">
      <pane ySplit="1" topLeftCell="A2" activePane="bottomLeft" state="frozen"/>
      <selection activeCell="W7" sqref="W7:W9"/>
      <selection pane="bottomLeft" activeCell="A25" sqref="A25"/>
    </sheetView>
  </sheetViews>
  <sheetFormatPr defaultRowHeight="14.25" outlineLevelRow="1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1.5703125" style="10" customWidth="1"/>
    <col min="5" max="5" width="8.7109375" style="10" customWidth="1"/>
    <col min="6" max="6" width="16.7109375" style="7" customWidth="1"/>
    <col min="7" max="7" width="19.570312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12.5703125" style="10" customWidth="1"/>
    <col min="16" max="16" width="12.7109375" style="10" customWidth="1"/>
    <col min="17" max="17" width="20" style="10" customWidth="1"/>
    <col min="18" max="18" width="29.5703125" style="10" customWidth="1"/>
    <col min="19" max="19" width="22" style="10" customWidth="1"/>
    <col min="20" max="20" width="23.85546875" style="3" customWidth="1" collapsed="1"/>
    <col min="21" max="21" width="22.140625" style="3" customWidth="1"/>
    <col min="22" max="22" width="19.42578125" style="3" customWidth="1"/>
    <col min="23" max="23" width="13.85546875" style="3" customWidth="1"/>
    <col min="24" max="24" width="12.140625" style="3" customWidth="1"/>
    <col min="25" max="25" width="40" style="10" customWidth="1"/>
    <col min="26" max="257" width="9.140625" style="4"/>
    <col min="258" max="258" width="30.42578125" style="4" customWidth="1"/>
    <col min="259" max="259" width="10.85546875" style="4" customWidth="1"/>
    <col min="260" max="260" width="11.7109375" style="4" customWidth="1"/>
    <col min="261" max="261" width="11.5703125" style="4" customWidth="1"/>
    <col min="262" max="262" width="8.7109375" style="4" customWidth="1"/>
    <col min="263" max="263" width="16.7109375" style="4" customWidth="1"/>
    <col min="264" max="264" width="15.140625" style="4" customWidth="1"/>
    <col min="265" max="265" width="13.140625" style="4" customWidth="1"/>
    <col min="266" max="266" width="13.42578125" style="4" customWidth="1"/>
    <col min="267" max="269" width="12.140625" style="4" customWidth="1"/>
    <col min="270" max="270" width="13.5703125" style="4" customWidth="1"/>
    <col min="271" max="271" width="16.140625" style="4" customWidth="1"/>
    <col min="272" max="272" width="12.85546875" style="4" customWidth="1"/>
    <col min="273" max="273" width="20.28515625" style="4" customWidth="1"/>
    <col min="274" max="274" width="20" style="4" customWidth="1"/>
    <col min="275" max="275" width="29.5703125" style="4" customWidth="1"/>
    <col min="276" max="276" width="23.85546875" style="4" customWidth="1"/>
    <col min="277" max="277" width="22.140625" style="4" customWidth="1"/>
    <col min="278" max="278" width="19.42578125" style="4" customWidth="1"/>
    <col min="279" max="279" width="13.85546875" style="4" customWidth="1"/>
    <col min="280" max="280" width="12.140625" style="4" customWidth="1"/>
    <col min="281" max="281" width="23.140625" style="4" customWidth="1"/>
    <col min="282" max="513" width="9.140625" style="4"/>
    <col min="514" max="514" width="30.42578125" style="4" customWidth="1"/>
    <col min="515" max="515" width="10.85546875" style="4" customWidth="1"/>
    <col min="516" max="516" width="11.7109375" style="4" customWidth="1"/>
    <col min="517" max="517" width="11.5703125" style="4" customWidth="1"/>
    <col min="518" max="518" width="8.7109375" style="4" customWidth="1"/>
    <col min="519" max="519" width="16.7109375" style="4" customWidth="1"/>
    <col min="520" max="520" width="15.140625" style="4" customWidth="1"/>
    <col min="521" max="521" width="13.140625" style="4" customWidth="1"/>
    <col min="522" max="522" width="13.42578125" style="4" customWidth="1"/>
    <col min="523" max="525" width="12.140625" style="4" customWidth="1"/>
    <col min="526" max="526" width="13.5703125" style="4" customWidth="1"/>
    <col min="527" max="527" width="16.140625" style="4" customWidth="1"/>
    <col min="528" max="528" width="12.85546875" style="4" customWidth="1"/>
    <col min="529" max="529" width="20.28515625" style="4" customWidth="1"/>
    <col min="530" max="530" width="20" style="4" customWidth="1"/>
    <col min="531" max="531" width="29.5703125" style="4" customWidth="1"/>
    <col min="532" max="532" width="23.85546875" style="4" customWidth="1"/>
    <col min="533" max="533" width="22.140625" style="4" customWidth="1"/>
    <col min="534" max="534" width="19.42578125" style="4" customWidth="1"/>
    <col min="535" max="535" width="13.85546875" style="4" customWidth="1"/>
    <col min="536" max="536" width="12.140625" style="4" customWidth="1"/>
    <col min="537" max="537" width="23.140625" style="4" customWidth="1"/>
    <col min="538" max="769" width="9.140625" style="4"/>
    <col min="770" max="770" width="30.42578125" style="4" customWidth="1"/>
    <col min="771" max="771" width="10.85546875" style="4" customWidth="1"/>
    <col min="772" max="772" width="11.7109375" style="4" customWidth="1"/>
    <col min="773" max="773" width="11.5703125" style="4" customWidth="1"/>
    <col min="774" max="774" width="8.7109375" style="4" customWidth="1"/>
    <col min="775" max="775" width="16.7109375" style="4" customWidth="1"/>
    <col min="776" max="776" width="15.140625" style="4" customWidth="1"/>
    <col min="777" max="777" width="13.140625" style="4" customWidth="1"/>
    <col min="778" max="778" width="13.42578125" style="4" customWidth="1"/>
    <col min="779" max="781" width="12.140625" style="4" customWidth="1"/>
    <col min="782" max="782" width="13.5703125" style="4" customWidth="1"/>
    <col min="783" max="783" width="16.140625" style="4" customWidth="1"/>
    <col min="784" max="784" width="12.85546875" style="4" customWidth="1"/>
    <col min="785" max="785" width="20.28515625" style="4" customWidth="1"/>
    <col min="786" max="786" width="20" style="4" customWidth="1"/>
    <col min="787" max="787" width="29.5703125" style="4" customWidth="1"/>
    <col min="788" max="788" width="23.85546875" style="4" customWidth="1"/>
    <col min="789" max="789" width="22.140625" style="4" customWidth="1"/>
    <col min="790" max="790" width="19.42578125" style="4" customWidth="1"/>
    <col min="791" max="791" width="13.85546875" style="4" customWidth="1"/>
    <col min="792" max="792" width="12.140625" style="4" customWidth="1"/>
    <col min="793" max="793" width="23.140625" style="4" customWidth="1"/>
    <col min="794" max="1025" width="9.140625" style="4"/>
    <col min="1026" max="1026" width="30.42578125" style="4" customWidth="1"/>
    <col min="1027" max="1027" width="10.85546875" style="4" customWidth="1"/>
    <col min="1028" max="1028" width="11.7109375" style="4" customWidth="1"/>
    <col min="1029" max="1029" width="11.5703125" style="4" customWidth="1"/>
    <col min="1030" max="1030" width="8.7109375" style="4" customWidth="1"/>
    <col min="1031" max="1031" width="16.7109375" style="4" customWidth="1"/>
    <col min="1032" max="1032" width="15.140625" style="4" customWidth="1"/>
    <col min="1033" max="1033" width="13.140625" style="4" customWidth="1"/>
    <col min="1034" max="1034" width="13.42578125" style="4" customWidth="1"/>
    <col min="1035" max="1037" width="12.140625" style="4" customWidth="1"/>
    <col min="1038" max="1038" width="13.5703125" style="4" customWidth="1"/>
    <col min="1039" max="1039" width="16.140625" style="4" customWidth="1"/>
    <col min="1040" max="1040" width="12.85546875" style="4" customWidth="1"/>
    <col min="1041" max="1041" width="20.28515625" style="4" customWidth="1"/>
    <col min="1042" max="1042" width="20" style="4" customWidth="1"/>
    <col min="1043" max="1043" width="29.5703125" style="4" customWidth="1"/>
    <col min="1044" max="1044" width="23.85546875" style="4" customWidth="1"/>
    <col min="1045" max="1045" width="22.140625" style="4" customWidth="1"/>
    <col min="1046" max="1046" width="19.42578125" style="4" customWidth="1"/>
    <col min="1047" max="1047" width="13.85546875" style="4" customWidth="1"/>
    <col min="1048" max="1048" width="12.140625" style="4" customWidth="1"/>
    <col min="1049" max="1049" width="23.140625" style="4" customWidth="1"/>
    <col min="1050" max="1281" width="9.140625" style="4"/>
    <col min="1282" max="1282" width="30.42578125" style="4" customWidth="1"/>
    <col min="1283" max="1283" width="10.85546875" style="4" customWidth="1"/>
    <col min="1284" max="1284" width="11.7109375" style="4" customWidth="1"/>
    <col min="1285" max="1285" width="11.5703125" style="4" customWidth="1"/>
    <col min="1286" max="1286" width="8.7109375" style="4" customWidth="1"/>
    <col min="1287" max="1287" width="16.7109375" style="4" customWidth="1"/>
    <col min="1288" max="1288" width="15.140625" style="4" customWidth="1"/>
    <col min="1289" max="1289" width="13.140625" style="4" customWidth="1"/>
    <col min="1290" max="1290" width="13.42578125" style="4" customWidth="1"/>
    <col min="1291" max="1293" width="12.140625" style="4" customWidth="1"/>
    <col min="1294" max="1294" width="13.5703125" style="4" customWidth="1"/>
    <col min="1295" max="1295" width="16.140625" style="4" customWidth="1"/>
    <col min="1296" max="1296" width="12.85546875" style="4" customWidth="1"/>
    <col min="1297" max="1297" width="20.28515625" style="4" customWidth="1"/>
    <col min="1298" max="1298" width="20" style="4" customWidth="1"/>
    <col min="1299" max="1299" width="29.5703125" style="4" customWidth="1"/>
    <col min="1300" max="1300" width="23.85546875" style="4" customWidth="1"/>
    <col min="1301" max="1301" width="22.140625" style="4" customWidth="1"/>
    <col min="1302" max="1302" width="19.42578125" style="4" customWidth="1"/>
    <col min="1303" max="1303" width="13.85546875" style="4" customWidth="1"/>
    <col min="1304" max="1304" width="12.140625" style="4" customWidth="1"/>
    <col min="1305" max="1305" width="23.140625" style="4" customWidth="1"/>
    <col min="1306" max="1537" width="9.140625" style="4"/>
    <col min="1538" max="1538" width="30.42578125" style="4" customWidth="1"/>
    <col min="1539" max="1539" width="10.85546875" style="4" customWidth="1"/>
    <col min="1540" max="1540" width="11.7109375" style="4" customWidth="1"/>
    <col min="1541" max="1541" width="11.5703125" style="4" customWidth="1"/>
    <col min="1542" max="1542" width="8.7109375" style="4" customWidth="1"/>
    <col min="1543" max="1543" width="16.7109375" style="4" customWidth="1"/>
    <col min="1544" max="1544" width="15.140625" style="4" customWidth="1"/>
    <col min="1545" max="1545" width="13.140625" style="4" customWidth="1"/>
    <col min="1546" max="1546" width="13.42578125" style="4" customWidth="1"/>
    <col min="1547" max="1549" width="12.140625" style="4" customWidth="1"/>
    <col min="1550" max="1550" width="13.5703125" style="4" customWidth="1"/>
    <col min="1551" max="1551" width="16.140625" style="4" customWidth="1"/>
    <col min="1552" max="1552" width="12.85546875" style="4" customWidth="1"/>
    <col min="1553" max="1553" width="20.28515625" style="4" customWidth="1"/>
    <col min="1554" max="1554" width="20" style="4" customWidth="1"/>
    <col min="1555" max="1555" width="29.5703125" style="4" customWidth="1"/>
    <col min="1556" max="1556" width="23.85546875" style="4" customWidth="1"/>
    <col min="1557" max="1557" width="22.140625" style="4" customWidth="1"/>
    <col min="1558" max="1558" width="19.42578125" style="4" customWidth="1"/>
    <col min="1559" max="1559" width="13.85546875" style="4" customWidth="1"/>
    <col min="1560" max="1560" width="12.140625" style="4" customWidth="1"/>
    <col min="1561" max="1561" width="23.140625" style="4" customWidth="1"/>
    <col min="1562" max="1793" width="9.140625" style="4"/>
    <col min="1794" max="1794" width="30.42578125" style="4" customWidth="1"/>
    <col min="1795" max="1795" width="10.85546875" style="4" customWidth="1"/>
    <col min="1796" max="1796" width="11.7109375" style="4" customWidth="1"/>
    <col min="1797" max="1797" width="11.5703125" style="4" customWidth="1"/>
    <col min="1798" max="1798" width="8.7109375" style="4" customWidth="1"/>
    <col min="1799" max="1799" width="16.7109375" style="4" customWidth="1"/>
    <col min="1800" max="1800" width="15.140625" style="4" customWidth="1"/>
    <col min="1801" max="1801" width="13.140625" style="4" customWidth="1"/>
    <col min="1802" max="1802" width="13.42578125" style="4" customWidth="1"/>
    <col min="1803" max="1805" width="12.140625" style="4" customWidth="1"/>
    <col min="1806" max="1806" width="13.5703125" style="4" customWidth="1"/>
    <col min="1807" max="1807" width="16.140625" style="4" customWidth="1"/>
    <col min="1808" max="1808" width="12.85546875" style="4" customWidth="1"/>
    <col min="1809" max="1809" width="20.28515625" style="4" customWidth="1"/>
    <col min="1810" max="1810" width="20" style="4" customWidth="1"/>
    <col min="1811" max="1811" width="29.5703125" style="4" customWidth="1"/>
    <col min="1812" max="1812" width="23.85546875" style="4" customWidth="1"/>
    <col min="1813" max="1813" width="22.140625" style="4" customWidth="1"/>
    <col min="1814" max="1814" width="19.42578125" style="4" customWidth="1"/>
    <col min="1815" max="1815" width="13.85546875" style="4" customWidth="1"/>
    <col min="1816" max="1816" width="12.140625" style="4" customWidth="1"/>
    <col min="1817" max="1817" width="23.140625" style="4" customWidth="1"/>
    <col min="1818" max="2049" width="9.140625" style="4"/>
    <col min="2050" max="2050" width="30.42578125" style="4" customWidth="1"/>
    <col min="2051" max="2051" width="10.85546875" style="4" customWidth="1"/>
    <col min="2052" max="2052" width="11.7109375" style="4" customWidth="1"/>
    <col min="2053" max="2053" width="11.5703125" style="4" customWidth="1"/>
    <col min="2054" max="2054" width="8.7109375" style="4" customWidth="1"/>
    <col min="2055" max="2055" width="16.7109375" style="4" customWidth="1"/>
    <col min="2056" max="2056" width="15.140625" style="4" customWidth="1"/>
    <col min="2057" max="2057" width="13.140625" style="4" customWidth="1"/>
    <col min="2058" max="2058" width="13.42578125" style="4" customWidth="1"/>
    <col min="2059" max="2061" width="12.140625" style="4" customWidth="1"/>
    <col min="2062" max="2062" width="13.5703125" style="4" customWidth="1"/>
    <col min="2063" max="2063" width="16.140625" style="4" customWidth="1"/>
    <col min="2064" max="2064" width="12.85546875" style="4" customWidth="1"/>
    <col min="2065" max="2065" width="20.28515625" style="4" customWidth="1"/>
    <col min="2066" max="2066" width="20" style="4" customWidth="1"/>
    <col min="2067" max="2067" width="29.5703125" style="4" customWidth="1"/>
    <col min="2068" max="2068" width="23.85546875" style="4" customWidth="1"/>
    <col min="2069" max="2069" width="22.140625" style="4" customWidth="1"/>
    <col min="2070" max="2070" width="19.42578125" style="4" customWidth="1"/>
    <col min="2071" max="2071" width="13.85546875" style="4" customWidth="1"/>
    <col min="2072" max="2072" width="12.140625" style="4" customWidth="1"/>
    <col min="2073" max="2073" width="23.140625" style="4" customWidth="1"/>
    <col min="2074" max="2305" width="9.140625" style="4"/>
    <col min="2306" max="2306" width="30.42578125" style="4" customWidth="1"/>
    <col min="2307" max="2307" width="10.85546875" style="4" customWidth="1"/>
    <col min="2308" max="2308" width="11.7109375" style="4" customWidth="1"/>
    <col min="2309" max="2309" width="11.5703125" style="4" customWidth="1"/>
    <col min="2310" max="2310" width="8.7109375" style="4" customWidth="1"/>
    <col min="2311" max="2311" width="16.7109375" style="4" customWidth="1"/>
    <col min="2312" max="2312" width="15.140625" style="4" customWidth="1"/>
    <col min="2313" max="2313" width="13.140625" style="4" customWidth="1"/>
    <col min="2314" max="2314" width="13.42578125" style="4" customWidth="1"/>
    <col min="2315" max="2317" width="12.140625" style="4" customWidth="1"/>
    <col min="2318" max="2318" width="13.5703125" style="4" customWidth="1"/>
    <col min="2319" max="2319" width="16.140625" style="4" customWidth="1"/>
    <col min="2320" max="2320" width="12.85546875" style="4" customWidth="1"/>
    <col min="2321" max="2321" width="20.28515625" style="4" customWidth="1"/>
    <col min="2322" max="2322" width="20" style="4" customWidth="1"/>
    <col min="2323" max="2323" width="29.5703125" style="4" customWidth="1"/>
    <col min="2324" max="2324" width="23.85546875" style="4" customWidth="1"/>
    <col min="2325" max="2325" width="22.140625" style="4" customWidth="1"/>
    <col min="2326" max="2326" width="19.42578125" style="4" customWidth="1"/>
    <col min="2327" max="2327" width="13.85546875" style="4" customWidth="1"/>
    <col min="2328" max="2328" width="12.140625" style="4" customWidth="1"/>
    <col min="2329" max="2329" width="23.140625" style="4" customWidth="1"/>
    <col min="2330" max="2561" width="9.140625" style="4"/>
    <col min="2562" max="2562" width="30.42578125" style="4" customWidth="1"/>
    <col min="2563" max="2563" width="10.85546875" style="4" customWidth="1"/>
    <col min="2564" max="2564" width="11.7109375" style="4" customWidth="1"/>
    <col min="2565" max="2565" width="11.5703125" style="4" customWidth="1"/>
    <col min="2566" max="2566" width="8.7109375" style="4" customWidth="1"/>
    <col min="2567" max="2567" width="16.7109375" style="4" customWidth="1"/>
    <col min="2568" max="2568" width="15.140625" style="4" customWidth="1"/>
    <col min="2569" max="2569" width="13.140625" style="4" customWidth="1"/>
    <col min="2570" max="2570" width="13.42578125" style="4" customWidth="1"/>
    <col min="2571" max="2573" width="12.140625" style="4" customWidth="1"/>
    <col min="2574" max="2574" width="13.5703125" style="4" customWidth="1"/>
    <col min="2575" max="2575" width="16.140625" style="4" customWidth="1"/>
    <col min="2576" max="2576" width="12.85546875" style="4" customWidth="1"/>
    <col min="2577" max="2577" width="20.28515625" style="4" customWidth="1"/>
    <col min="2578" max="2578" width="20" style="4" customWidth="1"/>
    <col min="2579" max="2579" width="29.5703125" style="4" customWidth="1"/>
    <col min="2580" max="2580" width="23.85546875" style="4" customWidth="1"/>
    <col min="2581" max="2581" width="22.140625" style="4" customWidth="1"/>
    <col min="2582" max="2582" width="19.42578125" style="4" customWidth="1"/>
    <col min="2583" max="2583" width="13.85546875" style="4" customWidth="1"/>
    <col min="2584" max="2584" width="12.140625" style="4" customWidth="1"/>
    <col min="2585" max="2585" width="23.140625" style="4" customWidth="1"/>
    <col min="2586" max="2817" width="9.140625" style="4"/>
    <col min="2818" max="2818" width="30.42578125" style="4" customWidth="1"/>
    <col min="2819" max="2819" width="10.85546875" style="4" customWidth="1"/>
    <col min="2820" max="2820" width="11.7109375" style="4" customWidth="1"/>
    <col min="2821" max="2821" width="11.5703125" style="4" customWidth="1"/>
    <col min="2822" max="2822" width="8.7109375" style="4" customWidth="1"/>
    <col min="2823" max="2823" width="16.7109375" style="4" customWidth="1"/>
    <col min="2824" max="2824" width="15.140625" style="4" customWidth="1"/>
    <col min="2825" max="2825" width="13.140625" style="4" customWidth="1"/>
    <col min="2826" max="2826" width="13.42578125" style="4" customWidth="1"/>
    <col min="2827" max="2829" width="12.140625" style="4" customWidth="1"/>
    <col min="2830" max="2830" width="13.5703125" style="4" customWidth="1"/>
    <col min="2831" max="2831" width="16.140625" style="4" customWidth="1"/>
    <col min="2832" max="2832" width="12.85546875" style="4" customWidth="1"/>
    <col min="2833" max="2833" width="20.28515625" style="4" customWidth="1"/>
    <col min="2834" max="2834" width="20" style="4" customWidth="1"/>
    <col min="2835" max="2835" width="29.5703125" style="4" customWidth="1"/>
    <col min="2836" max="2836" width="23.85546875" style="4" customWidth="1"/>
    <col min="2837" max="2837" width="22.140625" style="4" customWidth="1"/>
    <col min="2838" max="2838" width="19.42578125" style="4" customWidth="1"/>
    <col min="2839" max="2839" width="13.85546875" style="4" customWidth="1"/>
    <col min="2840" max="2840" width="12.140625" style="4" customWidth="1"/>
    <col min="2841" max="2841" width="23.140625" style="4" customWidth="1"/>
    <col min="2842" max="3073" width="9.140625" style="4"/>
    <col min="3074" max="3074" width="30.42578125" style="4" customWidth="1"/>
    <col min="3075" max="3075" width="10.85546875" style="4" customWidth="1"/>
    <col min="3076" max="3076" width="11.7109375" style="4" customWidth="1"/>
    <col min="3077" max="3077" width="11.5703125" style="4" customWidth="1"/>
    <col min="3078" max="3078" width="8.7109375" style="4" customWidth="1"/>
    <col min="3079" max="3079" width="16.7109375" style="4" customWidth="1"/>
    <col min="3080" max="3080" width="15.140625" style="4" customWidth="1"/>
    <col min="3081" max="3081" width="13.140625" style="4" customWidth="1"/>
    <col min="3082" max="3082" width="13.42578125" style="4" customWidth="1"/>
    <col min="3083" max="3085" width="12.140625" style="4" customWidth="1"/>
    <col min="3086" max="3086" width="13.5703125" style="4" customWidth="1"/>
    <col min="3087" max="3087" width="16.140625" style="4" customWidth="1"/>
    <col min="3088" max="3088" width="12.85546875" style="4" customWidth="1"/>
    <col min="3089" max="3089" width="20.28515625" style="4" customWidth="1"/>
    <col min="3090" max="3090" width="20" style="4" customWidth="1"/>
    <col min="3091" max="3091" width="29.5703125" style="4" customWidth="1"/>
    <col min="3092" max="3092" width="23.85546875" style="4" customWidth="1"/>
    <col min="3093" max="3093" width="22.140625" style="4" customWidth="1"/>
    <col min="3094" max="3094" width="19.42578125" style="4" customWidth="1"/>
    <col min="3095" max="3095" width="13.85546875" style="4" customWidth="1"/>
    <col min="3096" max="3096" width="12.140625" style="4" customWidth="1"/>
    <col min="3097" max="3097" width="23.140625" style="4" customWidth="1"/>
    <col min="3098" max="3329" width="9.140625" style="4"/>
    <col min="3330" max="3330" width="30.42578125" style="4" customWidth="1"/>
    <col min="3331" max="3331" width="10.85546875" style="4" customWidth="1"/>
    <col min="3332" max="3332" width="11.7109375" style="4" customWidth="1"/>
    <col min="3333" max="3333" width="11.5703125" style="4" customWidth="1"/>
    <col min="3334" max="3334" width="8.7109375" style="4" customWidth="1"/>
    <col min="3335" max="3335" width="16.7109375" style="4" customWidth="1"/>
    <col min="3336" max="3336" width="15.140625" style="4" customWidth="1"/>
    <col min="3337" max="3337" width="13.140625" style="4" customWidth="1"/>
    <col min="3338" max="3338" width="13.42578125" style="4" customWidth="1"/>
    <col min="3339" max="3341" width="12.140625" style="4" customWidth="1"/>
    <col min="3342" max="3342" width="13.5703125" style="4" customWidth="1"/>
    <col min="3343" max="3343" width="16.140625" style="4" customWidth="1"/>
    <col min="3344" max="3344" width="12.85546875" style="4" customWidth="1"/>
    <col min="3345" max="3345" width="20.28515625" style="4" customWidth="1"/>
    <col min="3346" max="3346" width="20" style="4" customWidth="1"/>
    <col min="3347" max="3347" width="29.5703125" style="4" customWidth="1"/>
    <col min="3348" max="3348" width="23.85546875" style="4" customWidth="1"/>
    <col min="3349" max="3349" width="22.140625" style="4" customWidth="1"/>
    <col min="3350" max="3350" width="19.42578125" style="4" customWidth="1"/>
    <col min="3351" max="3351" width="13.85546875" style="4" customWidth="1"/>
    <col min="3352" max="3352" width="12.140625" style="4" customWidth="1"/>
    <col min="3353" max="3353" width="23.140625" style="4" customWidth="1"/>
    <col min="3354" max="3585" width="9.140625" style="4"/>
    <col min="3586" max="3586" width="30.42578125" style="4" customWidth="1"/>
    <col min="3587" max="3587" width="10.85546875" style="4" customWidth="1"/>
    <col min="3588" max="3588" width="11.7109375" style="4" customWidth="1"/>
    <col min="3589" max="3589" width="11.5703125" style="4" customWidth="1"/>
    <col min="3590" max="3590" width="8.7109375" style="4" customWidth="1"/>
    <col min="3591" max="3591" width="16.7109375" style="4" customWidth="1"/>
    <col min="3592" max="3592" width="15.140625" style="4" customWidth="1"/>
    <col min="3593" max="3593" width="13.140625" style="4" customWidth="1"/>
    <col min="3594" max="3594" width="13.42578125" style="4" customWidth="1"/>
    <col min="3595" max="3597" width="12.140625" style="4" customWidth="1"/>
    <col min="3598" max="3598" width="13.5703125" style="4" customWidth="1"/>
    <col min="3599" max="3599" width="16.140625" style="4" customWidth="1"/>
    <col min="3600" max="3600" width="12.85546875" style="4" customWidth="1"/>
    <col min="3601" max="3601" width="20.28515625" style="4" customWidth="1"/>
    <col min="3602" max="3602" width="20" style="4" customWidth="1"/>
    <col min="3603" max="3603" width="29.5703125" style="4" customWidth="1"/>
    <col min="3604" max="3604" width="23.85546875" style="4" customWidth="1"/>
    <col min="3605" max="3605" width="22.140625" style="4" customWidth="1"/>
    <col min="3606" max="3606" width="19.42578125" style="4" customWidth="1"/>
    <col min="3607" max="3607" width="13.85546875" style="4" customWidth="1"/>
    <col min="3608" max="3608" width="12.140625" style="4" customWidth="1"/>
    <col min="3609" max="3609" width="23.140625" style="4" customWidth="1"/>
    <col min="3610" max="3841" width="9.140625" style="4"/>
    <col min="3842" max="3842" width="30.42578125" style="4" customWidth="1"/>
    <col min="3843" max="3843" width="10.85546875" style="4" customWidth="1"/>
    <col min="3844" max="3844" width="11.7109375" style="4" customWidth="1"/>
    <col min="3845" max="3845" width="11.5703125" style="4" customWidth="1"/>
    <col min="3846" max="3846" width="8.7109375" style="4" customWidth="1"/>
    <col min="3847" max="3847" width="16.7109375" style="4" customWidth="1"/>
    <col min="3848" max="3848" width="15.140625" style="4" customWidth="1"/>
    <col min="3849" max="3849" width="13.140625" style="4" customWidth="1"/>
    <col min="3850" max="3850" width="13.42578125" style="4" customWidth="1"/>
    <col min="3851" max="3853" width="12.140625" style="4" customWidth="1"/>
    <col min="3854" max="3854" width="13.5703125" style="4" customWidth="1"/>
    <col min="3855" max="3855" width="16.140625" style="4" customWidth="1"/>
    <col min="3856" max="3856" width="12.85546875" style="4" customWidth="1"/>
    <col min="3857" max="3857" width="20.28515625" style="4" customWidth="1"/>
    <col min="3858" max="3858" width="20" style="4" customWidth="1"/>
    <col min="3859" max="3859" width="29.5703125" style="4" customWidth="1"/>
    <col min="3860" max="3860" width="23.85546875" style="4" customWidth="1"/>
    <col min="3861" max="3861" width="22.140625" style="4" customWidth="1"/>
    <col min="3862" max="3862" width="19.42578125" style="4" customWidth="1"/>
    <col min="3863" max="3863" width="13.85546875" style="4" customWidth="1"/>
    <col min="3864" max="3864" width="12.140625" style="4" customWidth="1"/>
    <col min="3865" max="3865" width="23.140625" style="4" customWidth="1"/>
    <col min="3866" max="4097" width="9.140625" style="4"/>
    <col min="4098" max="4098" width="30.42578125" style="4" customWidth="1"/>
    <col min="4099" max="4099" width="10.85546875" style="4" customWidth="1"/>
    <col min="4100" max="4100" width="11.7109375" style="4" customWidth="1"/>
    <col min="4101" max="4101" width="11.5703125" style="4" customWidth="1"/>
    <col min="4102" max="4102" width="8.7109375" style="4" customWidth="1"/>
    <col min="4103" max="4103" width="16.7109375" style="4" customWidth="1"/>
    <col min="4104" max="4104" width="15.140625" style="4" customWidth="1"/>
    <col min="4105" max="4105" width="13.140625" style="4" customWidth="1"/>
    <col min="4106" max="4106" width="13.42578125" style="4" customWidth="1"/>
    <col min="4107" max="4109" width="12.140625" style="4" customWidth="1"/>
    <col min="4110" max="4110" width="13.5703125" style="4" customWidth="1"/>
    <col min="4111" max="4111" width="16.140625" style="4" customWidth="1"/>
    <col min="4112" max="4112" width="12.85546875" style="4" customWidth="1"/>
    <col min="4113" max="4113" width="20.28515625" style="4" customWidth="1"/>
    <col min="4114" max="4114" width="20" style="4" customWidth="1"/>
    <col min="4115" max="4115" width="29.5703125" style="4" customWidth="1"/>
    <col min="4116" max="4116" width="23.85546875" style="4" customWidth="1"/>
    <col min="4117" max="4117" width="22.140625" style="4" customWidth="1"/>
    <col min="4118" max="4118" width="19.42578125" style="4" customWidth="1"/>
    <col min="4119" max="4119" width="13.85546875" style="4" customWidth="1"/>
    <col min="4120" max="4120" width="12.140625" style="4" customWidth="1"/>
    <col min="4121" max="4121" width="23.140625" style="4" customWidth="1"/>
    <col min="4122" max="4353" width="9.140625" style="4"/>
    <col min="4354" max="4354" width="30.42578125" style="4" customWidth="1"/>
    <col min="4355" max="4355" width="10.85546875" style="4" customWidth="1"/>
    <col min="4356" max="4356" width="11.7109375" style="4" customWidth="1"/>
    <col min="4357" max="4357" width="11.5703125" style="4" customWidth="1"/>
    <col min="4358" max="4358" width="8.7109375" style="4" customWidth="1"/>
    <col min="4359" max="4359" width="16.7109375" style="4" customWidth="1"/>
    <col min="4360" max="4360" width="15.140625" style="4" customWidth="1"/>
    <col min="4361" max="4361" width="13.140625" style="4" customWidth="1"/>
    <col min="4362" max="4362" width="13.42578125" style="4" customWidth="1"/>
    <col min="4363" max="4365" width="12.140625" style="4" customWidth="1"/>
    <col min="4366" max="4366" width="13.5703125" style="4" customWidth="1"/>
    <col min="4367" max="4367" width="16.140625" style="4" customWidth="1"/>
    <col min="4368" max="4368" width="12.85546875" style="4" customWidth="1"/>
    <col min="4369" max="4369" width="20.28515625" style="4" customWidth="1"/>
    <col min="4370" max="4370" width="20" style="4" customWidth="1"/>
    <col min="4371" max="4371" width="29.5703125" style="4" customWidth="1"/>
    <col min="4372" max="4372" width="23.85546875" style="4" customWidth="1"/>
    <col min="4373" max="4373" width="22.140625" style="4" customWidth="1"/>
    <col min="4374" max="4374" width="19.42578125" style="4" customWidth="1"/>
    <col min="4375" max="4375" width="13.85546875" style="4" customWidth="1"/>
    <col min="4376" max="4376" width="12.140625" style="4" customWidth="1"/>
    <col min="4377" max="4377" width="23.140625" style="4" customWidth="1"/>
    <col min="4378" max="4609" width="9.140625" style="4"/>
    <col min="4610" max="4610" width="30.42578125" style="4" customWidth="1"/>
    <col min="4611" max="4611" width="10.85546875" style="4" customWidth="1"/>
    <col min="4612" max="4612" width="11.7109375" style="4" customWidth="1"/>
    <col min="4613" max="4613" width="11.5703125" style="4" customWidth="1"/>
    <col min="4614" max="4614" width="8.7109375" style="4" customWidth="1"/>
    <col min="4615" max="4615" width="16.7109375" style="4" customWidth="1"/>
    <col min="4616" max="4616" width="15.140625" style="4" customWidth="1"/>
    <col min="4617" max="4617" width="13.140625" style="4" customWidth="1"/>
    <col min="4618" max="4618" width="13.42578125" style="4" customWidth="1"/>
    <col min="4619" max="4621" width="12.140625" style="4" customWidth="1"/>
    <col min="4622" max="4622" width="13.5703125" style="4" customWidth="1"/>
    <col min="4623" max="4623" width="16.140625" style="4" customWidth="1"/>
    <col min="4624" max="4624" width="12.85546875" style="4" customWidth="1"/>
    <col min="4625" max="4625" width="20.28515625" style="4" customWidth="1"/>
    <col min="4626" max="4626" width="20" style="4" customWidth="1"/>
    <col min="4627" max="4627" width="29.5703125" style="4" customWidth="1"/>
    <col min="4628" max="4628" width="23.85546875" style="4" customWidth="1"/>
    <col min="4629" max="4629" width="22.140625" style="4" customWidth="1"/>
    <col min="4630" max="4630" width="19.42578125" style="4" customWidth="1"/>
    <col min="4631" max="4631" width="13.85546875" style="4" customWidth="1"/>
    <col min="4632" max="4632" width="12.140625" style="4" customWidth="1"/>
    <col min="4633" max="4633" width="23.140625" style="4" customWidth="1"/>
    <col min="4634" max="4865" width="9.140625" style="4"/>
    <col min="4866" max="4866" width="30.42578125" style="4" customWidth="1"/>
    <col min="4867" max="4867" width="10.85546875" style="4" customWidth="1"/>
    <col min="4868" max="4868" width="11.7109375" style="4" customWidth="1"/>
    <col min="4869" max="4869" width="11.5703125" style="4" customWidth="1"/>
    <col min="4870" max="4870" width="8.7109375" style="4" customWidth="1"/>
    <col min="4871" max="4871" width="16.7109375" style="4" customWidth="1"/>
    <col min="4872" max="4872" width="15.140625" style="4" customWidth="1"/>
    <col min="4873" max="4873" width="13.140625" style="4" customWidth="1"/>
    <col min="4874" max="4874" width="13.42578125" style="4" customWidth="1"/>
    <col min="4875" max="4877" width="12.140625" style="4" customWidth="1"/>
    <col min="4878" max="4878" width="13.5703125" style="4" customWidth="1"/>
    <col min="4879" max="4879" width="16.140625" style="4" customWidth="1"/>
    <col min="4880" max="4880" width="12.85546875" style="4" customWidth="1"/>
    <col min="4881" max="4881" width="20.28515625" style="4" customWidth="1"/>
    <col min="4882" max="4882" width="20" style="4" customWidth="1"/>
    <col min="4883" max="4883" width="29.5703125" style="4" customWidth="1"/>
    <col min="4884" max="4884" width="23.85546875" style="4" customWidth="1"/>
    <col min="4885" max="4885" width="22.140625" style="4" customWidth="1"/>
    <col min="4886" max="4886" width="19.42578125" style="4" customWidth="1"/>
    <col min="4887" max="4887" width="13.85546875" style="4" customWidth="1"/>
    <col min="4888" max="4888" width="12.140625" style="4" customWidth="1"/>
    <col min="4889" max="4889" width="23.140625" style="4" customWidth="1"/>
    <col min="4890" max="5121" width="9.140625" style="4"/>
    <col min="5122" max="5122" width="30.42578125" style="4" customWidth="1"/>
    <col min="5123" max="5123" width="10.85546875" style="4" customWidth="1"/>
    <col min="5124" max="5124" width="11.7109375" style="4" customWidth="1"/>
    <col min="5125" max="5125" width="11.5703125" style="4" customWidth="1"/>
    <col min="5126" max="5126" width="8.7109375" style="4" customWidth="1"/>
    <col min="5127" max="5127" width="16.7109375" style="4" customWidth="1"/>
    <col min="5128" max="5128" width="15.140625" style="4" customWidth="1"/>
    <col min="5129" max="5129" width="13.140625" style="4" customWidth="1"/>
    <col min="5130" max="5130" width="13.42578125" style="4" customWidth="1"/>
    <col min="5131" max="5133" width="12.140625" style="4" customWidth="1"/>
    <col min="5134" max="5134" width="13.5703125" style="4" customWidth="1"/>
    <col min="5135" max="5135" width="16.140625" style="4" customWidth="1"/>
    <col min="5136" max="5136" width="12.85546875" style="4" customWidth="1"/>
    <col min="5137" max="5137" width="20.28515625" style="4" customWidth="1"/>
    <col min="5138" max="5138" width="20" style="4" customWidth="1"/>
    <col min="5139" max="5139" width="29.5703125" style="4" customWidth="1"/>
    <col min="5140" max="5140" width="23.85546875" style="4" customWidth="1"/>
    <col min="5141" max="5141" width="22.140625" style="4" customWidth="1"/>
    <col min="5142" max="5142" width="19.42578125" style="4" customWidth="1"/>
    <col min="5143" max="5143" width="13.85546875" style="4" customWidth="1"/>
    <col min="5144" max="5144" width="12.140625" style="4" customWidth="1"/>
    <col min="5145" max="5145" width="23.140625" style="4" customWidth="1"/>
    <col min="5146" max="5377" width="9.140625" style="4"/>
    <col min="5378" max="5378" width="30.42578125" style="4" customWidth="1"/>
    <col min="5379" max="5379" width="10.85546875" style="4" customWidth="1"/>
    <col min="5380" max="5380" width="11.7109375" style="4" customWidth="1"/>
    <col min="5381" max="5381" width="11.5703125" style="4" customWidth="1"/>
    <col min="5382" max="5382" width="8.7109375" style="4" customWidth="1"/>
    <col min="5383" max="5383" width="16.7109375" style="4" customWidth="1"/>
    <col min="5384" max="5384" width="15.140625" style="4" customWidth="1"/>
    <col min="5385" max="5385" width="13.140625" style="4" customWidth="1"/>
    <col min="5386" max="5386" width="13.42578125" style="4" customWidth="1"/>
    <col min="5387" max="5389" width="12.140625" style="4" customWidth="1"/>
    <col min="5390" max="5390" width="13.5703125" style="4" customWidth="1"/>
    <col min="5391" max="5391" width="16.140625" style="4" customWidth="1"/>
    <col min="5392" max="5392" width="12.85546875" style="4" customWidth="1"/>
    <col min="5393" max="5393" width="20.28515625" style="4" customWidth="1"/>
    <col min="5394" max="5394" width="20" style="4" customWidth="1"/>
    <col min="5395" max="5395" width="29.5703125" style="4" customWidth="1"/>
    <col min="5396" max="5396" width="23.85546875" style="4" customWidth="1"/>
    <col min="5397" max="5397" width="22.140625" style="4" customWidth="1"/>
    <col min="5398" max="5398" width="19.42578125" style="4" customWidth="1"/>
    <col min="5399" max="5399" width="13.85546875" style="4" customWidth="1"/>
    <col min="5400" max="5400" width="12.140625" style="4" customWidth="1"/>
    <col min="5401" max="5401" width="23.140625" style="4" customWidth="1"/>
    <col min="5402" max="5633" width="9.140625" style="4"/>
    <col min="5634" max="5634" width="30.42578125" style="4" customWidth="1"/>
    <col min="5635" max="5635" width="10.85546875" style="4" customWidth="1"/>
    <col min="5636" max="5636" width="11.7109375" style="4" customWidth="1"/>
    <col min="5637" max="5637" width="11.5703125" style="4" customWidth="1"/>
    <col min="5638" max="5638" width="8.7109375" style="4" customWidth="1"/>
    <col min="5639" max="5639" width="16.7109375" style="4" customWidth="1"/>
    <col min="5640" max="5640" width="15.140625" style="4" customWidth="1"/>
    <col min="5641" max="5641" width="13.140625" style="4" customWidth="1"/>
    <col min="5642" max="5642" width="13.42578125" style="4" customWidth="1"/>
    <col min="5643" max="5645" width="12.140625" style="4" customWidth="1"/>
    <col min="5646" max="5646" width="13.5703125" style="4" customWidth="1"/>
    <col min="5647" max="5647" width="16.140625" style="4" customWidth="1"/>
    <col min="5648" max="5648" width="12.85546875" style="4" customWidth="1"/>
    <col min="5649" max="5649" width="20.28515625" style="4" customWidth="1"/>
    <col min="5650" max="5650" width="20" style="4" customWidth="1"/>
    <col min="5651" max="5651" width="29.5703125" style="4" customWidth="1"/>
    <col min="5652" max="5652" width="23.85546875" style="4" customWidth="1"/>
    <col min="5653" max="5653" width="22.140625" style="4" customWidth="1"/>
    <col min="5654" max="5654" width="19.42578125" style="4" customWidth="1"/>
    <col min="5655" max="5655" width="13.85546875" style="4" customWidth="1"/>
    <col min="5656" max="5656" width="12.140625" style="4" customWidth="1"/>
    <col min="5657" max="5657" width="23.140625" style="4" customWidth="1"/>
    <col min="5658" max="5889" width="9.140625" style="4"/>
    <col min="5890" max="5890" width="30.42578125" style="4" customWidth="1"/>
    <col min="5891" max="5891" width="10.85546875" style="4" customWidth="1"/>
    <col min="5892" max="5892" width="11.7109375" style="4" customWidth="1"/>
    <col min="5893" max="5893" width="11.5703125" style="4" customWidth="1"/>
    <col min="5894" max="5894" width="8.7109375" style="4" customWidth="1"/>
    <col min="5895" max="5895" width="16.7109375" style="4" customWidth="1"/>
    <col min="5896" max="5896" width="15.140625" style="4" customWidth="1"/>
    <col min="5897" max="5897" width="13.140625" style="4" customWidth="1"/>
    <col min="5898" max="5898" width="13.42578125" style="4" customWidth="1"/>
    <col min="5899" max="5901" width="12.140625" style="4" customWidth="1"/>
    <col min="5902" max="5902" width="13.5703125" style="4" customWidth="1"/>
    <col min="5903" max="5903" width="16.140625" style="4" customWidth="1"/>
    <col min="5904" max="5904" width="12.85546875" style="4" customWidth="1"/>
    <col min="5905" max="5905" width="20.28515625" style="4" customWidth="1"/>
    <col min="5906" max="5906" width="20" style="4" customWidth="1"/>
    <col min="5907" max="5907" width="29.5703125" style="4" customWidth="1"/>
    <col min="5908" max="5908" width="23.85546875" style="4" customWidth="1"/>
    <col min="5909" max="5909" width="22.140625" style="4" customWidth="1"/>
    <col min="5910" max="5910" width="19.42578125" style="4" customWidth="1"/>
    <col min="5911" max="5911" width="13.85546875" style="4" customWidth="1"/>
    <col min="5912" max="5912" width="12.140625" style="4" customWidth="1"/>
    <col min="5913" max="5913" width="23.140625" style="4" customWidth="1"/>
    <col min="5914" max="6145" width="9.140625" style="4"/>
    <col min="6146" max="6146" width="30.42578125" style="4" customWidth="1"/>
    <col min="6147" max="6147" width="10.85546875" style="4" customWidth="1"/>
    <col min="6148" max="6148" width="11.7109375" style="4" customWidth="1"/>
    <col min="6149" max="6149" width="11.5703125" style="4" customWidth="1"/>
    <col min="6150" max="6150" width="8.7109375" style="4" customWidth="1"/>
    <col min="6151" max="6151" width="16.7109375" style="4" customWidth="1"/>
    <col min="6152" max="6152" width="15.140625" style="4" customWidth="1"/>
    <col min="6153" max="6153" width="13.140625" style="4" customWidth="1"/>
    <col min="6154" max="6154" width="13.42578125" style="4" customWidth="1"/>
    <col min="6155" max="6157" width="12.140625" style="4" customWidth="1"/>
    <col min="6158" max="6158" width="13.5703125" style="4" customWidth="1"/>
    <col min="6159" max="6159" width="16.140625" style="4" customWidth="1"/>
    <col min="6160" max="6160" width="12.85546875" style="4" customWidth="1"/>
    <col min="6161" max="6161" width="20.28515625" style="4" customWidth="1"/>
    <col min="6162" max="6162" width="20" style="4" customWidth="1"/>
    <col min="6163" max="6163" width="29.5703125" style="4" customWidth="1"/>
    <col min="6164" max="6164" width="23.85546875" style="4" customWidth="1"/>
    <col min="6165" max="6165" width="22.140625" style="4" customWidth="1"/>
    <col min="6166" max="6166" width="19.42578125" style="4" customWidth="1"/>
    <col min="6167" max="6167" width="13.85546875" style="4" customWidth="1"/>
    <col min="6168" max="6168" width="12.140625" style="4" customWidth="1"/>
    <col min="6169" max="6169" width="23.140625" style="4" customWidth="1"/>
    <col min="6170" max="6401" width="9.140625" style="4"/>
    <col min="6402" max="6402" width="30.42578125" style="4" customWidth="1"/>
    <col min="6403" max="6403" width="10.85546875" style="4" customWidth="1"/>
    <col min="6404" max="6404" width="11.7109375" style="4" customWidth="1"/>
    <col min="6405" max="6405" width="11.5703125" style="4" customWidth="1"/>
    <col min="6406" max="6406" width="8.7109375" style="4" customWidth="1"/>
    <col min="6407" max="6407" width="16.7109375" style="4" customWidth="1"/>
    <col min="6408" max="6408" width="15.140625" style="4" customWidth="1"/>
    <col min="6409" max="6409" width="13.140625" style="4" customWidth="1"/>
    <col min="6410" max="6410" width="13.42578125" style="4" customWidth="1"/>
    <col min="6411" max="6413" width="12.140625" style="4" customWidth="1"/>
    <col min="6414" max="6414" width="13.5703125" style="4" customWidth="1"/>
    <col min="6415" max="6415" width="16.140625" style="4" customWidth="1"/>
    <col min="6416" max="6416" width="12.85546875" style="4" customWidth="1"/>
    <col min="6417" max="6417" width="20.28515625" style="4" customWidth="1"/>
    <col min="6418" max="6418" width="20" style="4" customWidth="1"/>
    <col min="6419" max="6419" width="29.5703125" style="4" customWidth="1"/>
    <col min="6420" max="6420" width="23.85546875" style="4" customWidth="1"/>
    <col min="6421" max="6421" width="22.140625" style="4" customWidth="1"/>
    <col min="6422" max="6422" width="19.42578125" style="4" customWidth="1"/>
    <col min="6423" max="6423" width="13.85546875" style="4" customWidth="1"/>
    <col min="6424" max="6424" width="12.140625" style="4" customWidth="1"/>
    <col min="6425" max="6425" width="23.140625" style="4" customWidth="1"/>
    <col min="6426" max="6657" width="9.140625" style="4"/>
    <col min="6658" max="6658" width="30.42578125" style="4" customWidth="1"/>
    <col min="6659" max="6659" width="10.85546875" style="4" customWidth="1"/>
    <col min="6660" max="6660" width="11.7109375" style="4" customWidth="1"/>
    <col min="6661" max="6661" width="11.5703125" style="4" customWidth="1"/>
    <col min="6662" max="6662" width="8.7109375" style="4" customWidth="1"/>
    <col min="6663" max="6663" width="16.7109375" style="4" customWidth="1"/>
    <col min="6664" max="6664" width="15.140625" style="4" customWidth="1"/>
    <col min="6665" max="6665" width="13.140625" style="4" customWidth="1"/>
    <col min="6666" max="6666" width="13.42578125" style="4" customWidth="1"/>
    <col min="6667" max="6669" width="12.140625" style="4" customWidth="1"/>
    <col min="6670" max="6670" width="13.5703125" style="4" customWidth="1"/>
    <col min="6671" max="6671" width="16.140625" style="4" customWidth="1"/>
    <col min="6672" max="6672" width="12.85546875" style="4" customWidth="1"/>
    <col min="6673" max="6673" width="20.28515625" style="4" customWidth="1"/>
    <col min="6674" max="6674" width="20" style="4" customWidth="1"/>
    <col min="6675" max="6675" width="29.5703125" style="4" customWidth="1"/>
    <col min="6676" max="6676" width="23.85546875" style="4" customWidth="1"/>
    <col min="6677" max="6677" width="22.140625" style="4" customWidth="1"/>
    <col min="6678" max="6678" width="19.42578125" style="4" customWidth="1"/>
    <col min="6679" max="6679" width="13.85546875" style="4" customWidth="1"/>
    <col min="6680" max="6680" width="12.140625" style="4" customWidth="1"/>
    <col min="6681" max="6681" width="23.140625" style="4" customWidth="1"/>
    <col min="6682" max="6913" width="9.140625" style="4"/>
    <col min="6914" max="6914" width="30.42578125" style="4" customWidth="1"/>
    <col min="6915" max="6915" width="10.85546875" style="4" customWidth="1"/>
    <col min="6916" max="6916" width="11.7109375" style="4" customWidth="1"/>
    <col min="6917" max="6917" width="11.5703125" style="4" customWidth="1"/>
    <col min="6918" max="6918" width="8.7109375" style="4" customWidth="1"/>
    <col min="6919" max="6919" width="16.7109375" style="4" customWidth="1"/>
    <col min="6920" max="6920" width="15.140625" style="4" customWidth="1"/>
    <col min="6921" max="6921" width="13.140625" style="4" customWidth="1"/>
    <col min="6922" max="6922" width="13.42578125" style="4" customWidth="1"/>
    <col min="6923" max="6925" width="12.140625" style="4" customWidth="1"/>
    <col min="6926" max="6926" width="13.5703125" style="4" customWidth="1"/>
    <col min="6927" max="6927" width="16.140625" style="4" customWidth="1"/>
    <col min="6928" max="6928" width="12.85546875" style="4" customWidth="1"/>
    <col min="6929" max="6929" width="20.28515625" style="4" customWidth="1"/>
    <col min="6930" max="6930" width="20" style="4" customWidth="1"/>
    <col min="6931" max="6931" width="29.5703125" style="4" customWidth="1"/>
    <col min="6932" max="6932" width="23.85546875" style="4" customWidth="1"/>
    <col min="6933" max="6933" width="22.140625" style="4" customWidth="1"/>
    <col min="6934" max="6934" width="19.42578125" style="4" customWidth="1"/>
    <col min="6935" max="6935" width="13.85546875" style="4" customWidth="1"/>
    <col min="6936" max="6936" width="12.140625" style="4" customWidth="1"/>
    <col min="6937" max="6937" width="23.140625" style="4" customWidth="1"/>
    <col min="6938" max="7169" width="9.140625" style="4"/>
    <col min="7170" max="7170" width="30.42578125" style="4" customWidth="1"/>
    <col min="7171" max="7171" width="10.85546875" style="4" customWidth="1"/>
    <col min="7172" max="7172" width="11.7109375" style="4" customWidth="1"/>
    <col min="7173" max="7173" width="11.5703125" style="4" customWidth="1"/>
    <col min="7174" max="7174" width="8.7109375" style="4" customWidth="1"/>
    <col min="7175" max="7175" width="16.7109375" style="4" customWidth="1"/>
    <col min="7176" max="7176" width="15.140625" style="4" customWidth="1"/>
    <col min="7177" max="7177" width="13.140625" style="4" customWidth="1"/>
    <col min="7178" max="7178" width="13.42578125" style="4" customWidth="1"/>
    <col min="7179" max="7181" width="12.140625" style="4" customWidth="1"/>
    <col min="7182" max="7182" width="13.5703125" style="4" customWidth="1"/>
    <col min="7183" max="7183" width="16.140625" style="4" customWidth="1"/>
    <col min="7184" max="7184" width="12.85546875" style="4" customWidth="1"/>
    <col min="7185" max="7185" width="20.28515625" style="4" customWidth="1"/>
    <col min="7186" max="7186" width="20" style="4" customWidth="1"/>
    <col min="7187" max="7187" width="29.5703125" style="4" customWidth="1"/>
    <col min="7188" max="7188" width="23.85546875" style="4" customWidth="1"/>
    <col min="7189" max="7189" width="22.140625" style="4" customWidth="1"/>
    <col min="7190" max="7190" width="19.42578125" style="4" customWidth="1"/>
    <col min="7191" max="7191" width="13.85546875" style="4" customWidth="1"/>
    <col min="7192" max="7192" width="12.140625" style="4" customWidth="1"/>
    <col min="7193" max="7193" width="23.140625" style="4" customWidth="1"/>
    <col min="7194" max="7425" width="9.140625" style="4"/>
    <col min="7426" max="7426" width="30.42578125" style="4" customWidth="1"/>
    <col min="7427" max="7427" width="10.85546875" style="4" customWidth="1"/>
    <col min="7428" max="7428" width="11.7109375" style="4" customWidth="1"/>
    <col min="7429" max="7429" width="11.5703125" style="4" customWidth="1"/>
    <col min="7430" max="7430" width="8.7109375" style="4" customWidth="1"/>
    <col min="7431" max="7431" width="16.7109375" style="4" customWidth="1"/>
    <col min="7432" max="7432" width="15.140625" style="4" customWidth="1"/>
    <col min="7433" max="7433" width="13.140625" style="4" customWidth="1"/>
    <col min="7434" max="7434" width="13.42578125" style="4" customWidth="1"/>
    <col min="7435" max="7437" width="12.140625" style="4" customWidth="1"/>
    <col min="7438" max="7438" width="13.5703125" style="4" customWidth="1"/>
    <col min="7439" max="7439" width="16.140625" style="4" customWidth="1"/>
    <col min="7440" max="7440" width="12.85546875" style="4" customWidth="1"/>
    <col min="7441" max="7441" width="20.28515625" style="4" customWidth="1"/>
    <col min="7442" max="7442" width="20" style="4" customWidth="1"/>
    <col min="7443" max="7443" width="29.5703125" style="4" customWidth="1"/>
    <col min="7444" max="7444" width="23.85546875" style="4" customWidth="1"/>
    <col min="7445" max="7445" width="22.140625" style="4" customWidth="1"/>
    <col min="7446" max="7446" width="19.42578125" style="4" customWidth="1"/>
    <col min="7447" max="7447" width="13.85546875" style="4" customWidth="1"/>
    <col min="7448" max="7448" width="12.140625" style="4" customWidth="1"/>
    <col min="7449" max="7449" width="23.140625" style="4" customWidth="1"/>
    <col min="7450" max="7681" width="9.140625" style="4"/>
    <col min="7682" max="7682" width="30.42578125" style="4" customWidth="1"/>
    <col min="7683" max="7683" width="10.85546875" style="4" customWidth="1"/>
    <col min="7684" max="7684" width="11.7109375" style="4" customWidth="1"/>
    <col min="7685" max="7685" width="11.5703125" style="4" customWidth="1"/>
    <col min="7686" max="7686" width="8.7109375" style="4" customWidth="1"/>
    <col min="7687" max="7687" width="16.7109375" style="4" customWidth="1"/>
    <col min="7688" max="7688" width="15.140625" style="4" customWidth="1"/>
    <col min="7689" max="7689" width="13.140625" style="4" customWidth="1"/>
    <col min="7690" max="7690" width="13.42578125" style="4" customWidth="1"/>
    <col min="7691" max="7693" width="12.140625" style="4" customWidth="1"/>
    <col min="7694" max="7694" width="13.5703125" style="4" customWidth="1"/>
    <col min="7695" max="7695" width="16.140625" style="4" customWidth="1"/>
    <col min="7696" max="7696" width="12.85546875" style="4" customWidth="1"/>
    <col min="7697" max="7697" width="20.28515625" style="4" customWidth="1"/>
    <col min="7698" max="7698" width="20" style="4" customWidth="1"/>
    <col min="7699" max="7699" width="29.5703125" style="4" customWidth="1"/>
    <col min="7700" max="7700" width="23.85546875" style="4" customWidth="1"/>
    <col min="7701" max="7701" width="22.140625" style="4" customWidth="1"/>
    <col min="7702" max="7702" width="19.42578125" style="4" customWidth="1"/>
    <col min="7703" max="7703" width="13.85546875" style="4" customWidth="1"/>
    <col min="7704" max="7704" width="12.140625" style="4" customWidth="1"/>
    <col min="7705" max="7705" width="23.140625" style="4" customWidth="1"/>
    <col min="7706" max="7937" width="9.140625" style="4"/>
    <col min="7938" max="7938" width="30.42578125" style="4" customWidth="1"/>
    <col min="7939" max="7939" width="10.85546875" style="4" customWidth="1"/>
    <col min="7940" max="7940" width="11.7109375" style="4" customWidth="1"/>
    <col min="7941" max="7941" width="11.5703125" style="4" customWidth="1"/>
    <col min="7942" max="7942" width="8.7109375" style="4" customWidth="1"/>
    <col min="7943" max="7943" width="16.7109375" style="4" customWidth="1"/>
    <col min="7944" max="7944" width="15.140625" style="4" customWidth="1"/>
    <col min="7945" max="7945" width="13.140625" style="4" customWidth="1"/>
    <col min="7946" max="7946" width="13.42578125" style="4" customWidth="1"/>
    <col min="7947" max="7949" width="12.140625" style="4" customWidth="1"/>
    <col min="7950" max="7950" width="13.5703125" style="4" customWidth="1"/>
    <col min="7951" max="7951" width="16.140625" style="4" customWidth="1"/>
    <col min="7952" max="7952" width="12.85546875" style="4" customWidth="1"/>
    <col min="7953" max="7953" width="20.28515625" style="4" customWidth="1"/>
    <col min="7954" max="7954" width="20" style="4" customWidth="1"/>
    <col min="7955" max="7955" width="29.5703125" style="4" customWidth="1"/>
    <col min="7956" max="7956" width="23.85546875" style="4" customWidth="1"/>
    <col min="7957" max="7957" width="22.140625" style="4" customWidth="1"/>
    <col min="7958" max="7958" width="19.42578125" style="4" customWidth="1"/>
    <col min="7959" max="7959" width="13.85546875" style="4" customWidth="1"/>
    <col min="7960" max="7960" width="12.140625" style="4" customWidth="1"/>
    <col min="7961" max="7961" width="23.140625" style="4" customWidth="1"/>
    <col min="7962" max="8193" width="9.140625" style="4"/>
    <col min="8194" max="8194" width="30.42578125" style="4" customWidth="1"/>
    <col min="8195" max="8195" width="10.85546875" style="4" customWidth="1"/>
    <col min="8196" max="8196" width="11.7109375" style="4" customWidth="1"/>
    <col min="8197" max="8197" width="11.5703125" style="4" customWidth="1"/>
    <col min="8198" max="8198" width="8.7109375" style="4" customWidth="1"/>
    <col min="8199" max="8199" width="16.7109375" style="4" customWidth="1"/>
    <col min="8200" max="8200" width="15.140625" style="4" customWidth="1"/>
    <col min="8201" max="8201" width="13.140625" style="4" customWidth="1"/>
    <col min="8202" max="8202" width="13.42578125" style="4" customWidth="1"/>
    <col min="8203" max="8205" width="12.140625" style="4" customWidth="1"/>
    <col min="8206" max="8206" width="13.5703125" style="4" customWidth="1"/>
    <col min="8207" max="8207" width="16.140625" style="4" customWidth="1"/>
    <col min="8208" max="8208" width="12.85546875" style="4" customWidth="1"/>
    <col min="8209" max="8209" width="20.28515625" style="4" customWidth="1"/>
    <col min="8210" max="8210" width="20" style="4" customWidth="1"/>
    <col min="8211" max="8211" width="29.5703125" style="4" customWidth="1"/>
    <col min="8212" max="8212" width="23.85546875" style="4" customWidth="1"/>
    <col min="8213" max="8213" width="22.140625" style="4" customWidth="1"/>
    <col min="8214" max="8214" width="19.42578125" style="4" customWidth="1"/>
    <col min="8215" max="8215" width="13.85546875" style="4" customWidth="1"/>
    <col min="8216" max="8216" width="12.140625" style="4" customWidth="1"/>
    <col min="8217" max="8217" width="23.140625" style="4" customWidth="1"/>
    <col min="8218" max="8449" width="9.140625" style="4"/>
    <col min="8450" max="8450" width="30.42578125" style="4" customWidth="1"/>
    <col min="8451" max="8451" width="10.85546875" style="4" customWidth="1"/>
    <col min="8452" max="8452" width="11.7109375" style="4" customWidth="1"/>
    <col min="8453" max="8453" width="11.5703125" style="4" customWidth="1"/>
    <col min="8454" max="8454" width="8.7109375" style="4" customWidth="1"/>
    <col min="8455" max="8455" width="16.7109375" style="4" customWidth="1"/>
    <col min="8456" max="8456" width="15.140625" style="4" customWidth="1"/>
    <col min="8457" max="8457" width="13.140625" style="4" customWidth="1"/>
    <col min="8458" max="8458" width="13.42578125" style="4" customWidth="1"/>
    <col min="8459" max="8461" width="12.140625" style="4" customWidth="1"/>
    <col min="8462" max="8462" width="13.5703125" style="4" customWidth="1"/>
    <col min="8463" max="8463" width="16.140625" style="4" customWidth="1"/>
    <col min="8464" max="8464" width="12.85546875" style="4" customWidth="1"/>
    <col min="8465" max="8465" width="20.28515625" style="4" customWidth="1"/>
    <col min="8466" max="8466" width="20" style="4" customWidth="1"/>
    <col min="8467" max="8467" width="29.5703125" style="4" customWidth="1"/>
    <col min="8468" max="8468" width="23.85546875" style="4" customWidth="1"/>
    <col min="8469" max="8469" width="22.140625" style="4" customWidth="1"/>
    <col min="8470" max="8470" width="19.42578125" style="4" customWidth="1"/>
    <col min="8471" max="8471" width="13.85546875" style="4" customWidth="1"/>
    <col min="8472" max="8472" width="12.140625" style="4" customWidth="1"/>
    <col min="8473" max="8473" width="23.140625" style="4" customWidth="1"/>
    <col min="8474" max="8705" width="9.140625" style="4"/>
    <col min="8706" max="8706" width="30.42578125" style="4" customWidth="1"/>
    <col min="8707" max="8707" width="10.85546875" style="4" customWidth="1"/>
    <col min="8708" max="8708" width="11.7109375" style="4" customWidth="1"/>
    <col min="8709" max="8709" width="11.5703125" style="4" customWidth="1"/>
    <col min="8710" max="8710" width="8.7109375" style="4" customWidth="1"/>
    <col min="8711" max="8711" width="16.7109375" style="4" customWidth="1"/>
    <col min="8712" max="8712" width="15.140625" style="4" customWidth="1"/>
    <col min="8713" max="8713" width="13.140625" style="4" customWidth="1"/>
    <col min="8714" max="8714" width="13.42578125" style="4" customWidth="1"/>
    <col min="8715" max="8717" width="12.140625" style="4" customWidth="1"/>
    <col min="8718" max="8718" width="13.5703125" style="4" customWidth="1"/>
    <col min="8719" max="8719" width="16.140625" style="4" customWidth="1"/>
    <col min="8720" max="8720" width="12.85546875" style="4" customWidth="1"/>
    <col min="8721" max="8721" width="20.28515625" style="4" customWidth="1"/>
    <col min="8722" max="8722" width="20" style="4" customWidth="1"/>
    <col min="8723" max="8723" width="29.5703125" style="4" customWidth="1"/>
    <col min="8724" max="8724" width="23.85546875" style="4" customWidth="1"/>
    <col min="8725" max="8725" width="22.140625" style="4" customWidth="1"/>
    <col min="8726" max="8726" width="19.42578125" style="4" customWidth="1"/>
    <col min="8727" max="8727" width="13.85546875" style="4" customWidth="1"/>
    <col min="8728" max="8728" width="12.140625" style="4" customWidth="1"/>
    <col min="8729" max="8729" width="23.140625" style="4" customWidth="1"/>
    <col min="8730" max="8961" width="9.140625" style="4"/>
    <col min="8962" max="8962" width="30.42578125" style="4" customWidth="1"/>
    <col min="8963" max="8963" width="10.85546875" style="4" customWidth="1"/>
    <col min="8964" max="8964" width="11.7109375" style="4" customWidth="1"/>
    <col min="8965" max="8965" width="11.5703125" style="4" customWidth="1"/>
    <col min="8966" max="8966" width="8.7109375" style="4" customWidth="1"/>
    <col min="8967" max="8967" width="16.7109375" style="4" customWidth="1"/>
    <col min="8968" max="8968" width="15.140625" style="4" customWidth="1"/>
    <col min="8969" max="8969" width="13.140625" style="4" customWidth="1"/>
    <col min="8970" max="8970" width="13.42578125" style="4" customWidth="1"/>
    <col min="8971" max="8973" width="12.140625" style="4" customWidth="1"/>
    <col min="8974" max="8974" width="13.5703125" style="4" customWidth="1"/>
    <col min="8975" max="8975" width="16.140625" style="4" customWidth="1"/>
    <col min="8976" max="8976" width="12.85546875" style="4" customWidth="1"/>
    <col min="8977" max="8977" width="20.28515625" style="4" customWidth="1"/>
    <col min="8978" max="8978" width="20" style="4" customWidth="1"/>
    <col min="8979" max="8979" width="29.5703125" style="4" customWidth="1"/>
    <col min="8980" max="8980" width="23.85546875" style="4" customWidth="1"/>
    <col min="8981" max="8981" width="22.140625" style="4" customWidth="1"/>
    <col min="8982" max="8982" width="19.42578125" style="4" customWidth="1"/>
    <col min="8983" max="8983" width="13.85546875" style="4" customWidth="1"/>
    <col min="8984" max="8984" width="12.140625" style="4" customWidth="1"/>
    <col min="8985" max="8985" width="23.140625" style="4" customWidth="1"/>
    <col min="8986" max="9217" width="9.140625" style="4"/>
    <col min="9218" max="9218" width="30.42578125" style="4" customWidth="1"/>
    <col min="9219" max="9219" width="10.85546875" style="4" customWidth="1"/>
    <col min="9220" max="9220" width="11.7109375" style="4" customWidth="1"/>
    <col min="9221" max="9221" width="11.5703125" style="4" customWidth="1"/>
    <col min="9222" max="9222" width="8.7109375" style="4" customWidth="1"/>
    <col min="9223" max="9223" width="16.7109375" style="4" customWidth="1"/>
    <col min="9224" max="9224" width="15.140625" style="4" customWidth="1"/>
    <col min="9225" max="9225" width="13.140625" style="4" customWidth="1"/>
    <col min="9226" max="9226" width="13.42578125" style="4" customWidth="1"/>
    <col min="9227" max="9229" width="12.140625" style="4" customWidth="1"/>
    <col min="9230" max="9230" width="13.5703125" style="4" customWidth="1"/>
    <col min="9231" max="9231" width="16.140625" style="4" customWidth="1"/>
    <col min="9232" max="9232" width="12.85546875" style="4" customWidth="1"/>
    <col min="9233" max="9233" width="20.28515625" style="4" customWidth="1"/>
    <col min="9234" max="9234" width="20" style="4" customWidth="1"/>
    <col min="9235" max="9235" width="29.5703125" style="4" customWidth="1"/>
    <col min="9236" max="9236" width="23.85546875" style="4" customWidth="1"/>
    <col min="9237" max="9237" width="22.140625" style="4" customWidth="1"/>
    <col min="9238" max="9238" width="19.42578125" style="4" customWidth="1"/>
    <col min="9239" max="9239" width="13.85546875" style="4" customWidth="1"/>
    <col min="9240" max="9240" width="12.140625" style="4" customWidth="1"/>
    <col min="9241" max="9241" width="23.140625" style="4" customWidth="1"/>
    <col min="9242" max="9473" width="9.140625" style="4"/>
    <col min="9474" max="9474" width="30.42578125" style="4" customWidth="1"/>
    <col min="9475" max="9475" width="10.85546875" style="4" customWidth="1"/>
    <col min="9476" max="9476" width="11.7109375" style="4" customWidth="1"/>
    <col min="9477" max="9477" width="11.5703125" style="4" customWidth="1"/>
    <col min="9478" max="9478" width="8.7109375" style="4" customWidth="1"/>
    <col min="9479" max="9479" width="16.7109375" style="4" customWidth="1"/>
    <col min="9480" max="9480" width="15.140625" style="4" customWidth="1"/>
    <col min="9481" max="9481" width="13.140625" style="4" customWidth="1"/>
    <col min="9482" max="9482" width="13.42578125" style="4" customWidth="1"/>
    <col min="9483" max="9485" width="12.140625" style="4" customWidth="1"/>
    <col min="9486" max="9486" width="13.5703125" style="4" customWidth="1"/>
    <col min="9487" max="9487" width="16.140625" style="4" customWidth="1"/>
    <col min="9488" max="9488" width="12.85546875" style="4" customWidth="1"/>
    <col min="9489" max="9489" width="20.28515625" style="4" customWidth="1"/>
    <col min="9490" max="9490" width="20" style="4" customWidth="1"/>
    <col min="9491" max="9491" width="29.5703125" style="4" customWidth="1"/>
    <col min="9492" max="9492" width="23.85546875" style="4" customWidth="1"/>
    <col min="9493" max="9493" width="22.140625" style="4" customWidth="1"/>
    <col min="9494" max="9494" width="19.42578125" style="4" customWidth="1"/>
    <col min="9495" max="9495" width="13.85546875" style="4" customWidth="1"/>
    <col min="9496" max="9496" width="12.140625" style="4" customWidth="1"/>
    <col min="9497" max="9497" width="23.140625" style="4" customWidth="1"/>
    <col min="9498" max="9729" width="9.140625" style="4"/>
    <col min="9730" max="9730" width="30.42578125" style="4" customWidth="1"/>
    <col min="9731" max="9731" width="10.85546875" style="4" customWidth="1"/>
    <col min="9732" max="9732" width="11.7109375" style="4" customWidth="1"/>
    <col min="9733" max="9733" width="11.5703125" style="4" customWidth="1"/>
    <col min="9734" max="9734" width="8.7109375" style="4" customWidth="1"/>
    <col min="9735" max="9735" width="16.7109375" style="4" customWidth="1"/>
    <col min="9736" max="9736" width="15.140625" style="4" customWidth="1"/>
    <col min="9737" max="9737" width="13.140625" style="4" customWidth="1"/>
    <col min="9738" max="9738" width="13.42578125" style="4" customWidth="1"/>
    <col min="9739" max="9741" width="12.140625" style="4" customWidth="1"/>
    <col min="9742" max="9742" width="13.5703125" style="4" customWidth="1"/>
    <col min="9743" max="9743" width="16.140625" style="4" customWidth="1"/>
    <col min="9744" max="9744" width="12.85546875" style="4" customWidth="1"/>
    <col min="9745" max="9745" width="20.28515625" style="4" customWidth="1"/>
    <col min="9746" max="9746" width="20" style="4" customWidth="1"/>
    <col min="9747" max="9747" width="29.5703125" style="4" customWidth="1"/>
    <col min="9748" max="9748" width="23.85546875" style="4" customWidth="1"/>
    <col min="9749" max="9749" width="22.140625" style="4" customWidth="1"/>
    <col min="9750" max="9750" width="19.42578125" style="4" customWidth="1"/>
    <col min="9751" max="9751" width="13.85546875" style="4" customWidth="1"/>
    <col min="9752" max="9752" width="12.140625" style="4" customWidth="1"/>
    <col min="9753" max="9753" width="23.140625" style="4" customWidth="1"/>
    <col min="9754" max="9985" width="9.140625" style="4"/>
    <col min="9986" max="9986" width="30.42578125" style="4" customWidth="1"/>
    <col min="9987" max="9987" width="10.85546875" style="4" customWidth="1"/>
    <col min="9988" max="9988" width="11.7109375" style="4" customWidth="1"/>
    <col min="9989" max="9989" width="11.5703125" style="4" customWidth="1"/>
    <col min="9990" max="9990" width="8.7109375" style="4" customWidth="1"/>
    <col min="9991" max="9991" width="16.7109375" style="4" customWidth="1"/>
    <col min="9992" max="9992" width="15.140625" style="4" customWidth="1"/>
    <col min="9993" max="9993" width="13.140625" style="4" customWidth="1"/>
    <col min="9994" max="9994" width="13.42578125" style="4" customWidth="1"/>
    <col min="9995" max="9997" width="12.140625" style="4" customWidth="1"/>
    <col min="9998" max="9998" width="13.5703125" style="4" customWidth="1"/>
    <col min="9999" max="9999" width="16.140625" style="4" customWidth="1"/>
    <col min="10000" max="10000" width="12.85546875" style="4" customWidth="1"/>
    <col min="10001" max="10001" width="20.28515625" style="4" customWidth="1"/>
    <col min="10002" max="10002" width="20" style="4" customWidth="1"/>
    <col min="10003" max="10003" width="29.5703125" style="4" customWidth="1"/>
    <col min="10004" max="10004" width="23.85546875" style="4" customWidth="1"/>
    <col min="10005" max="10005" width="22.140625" style="4" customWidth="1"/>
    <col min="10006" max="10006" width="19.42578125" style="4" customWidth="1"/>
    <col min="10007" max="10007" width="13.85546875" style="4" customWidth="1"/>
    <col min="10008" max="10008" width="12.140625" style="4" customWidth="1"/>
    <col min="10009" max="10009" width="23.140625" style="4" customWidth="1"/>
    <col min="10010" max="10241" width="9.140625" style="4"/>
    <col min="10242" max="10242" width="30.42578125" style="4" customWidth="1"/>
    <col min="10243" max="10243" width="10.85546875" style="4" customWidth="1"/>
    <col min="10244" max="10244" width="11.7109375" style="4" customWidth="1"/>
    <col min="10245" max="10245" width="11.5703125" style="4" customWidth="1"/>
    <col min="10246" max="10246" width="8.7109375" style="4" customWidth="1"/>
    <col min="10247" max="10247" width="16.7109375" style="4" customWidth="1"/>
    <col min="10248" max="10248" width="15.140625" style="4" customWidth="1"/>
    <col min="10249" max="10249" width="13.140625" style="4" customWidth="1"/>
    <col min="10250" max="10250" width="13.42578125" style="4" customWidth="1"/>
    <col min="10251" max="10253" width="12.140625" style="4" customWidth="1"/>
    <col min="10254" max="10254" width="13.5703125" style="4" customWidth="1"/>
    <col min="10255" max="10255" width="16.140625" style="4" customWidth="1"/>
    <col min="10256" max="10256" width="12.85546875" style="4" customWidth="1"/>
    <col min="10257" max="10257" width="20.28515625" style="4" customWidth="1"/>
    <col min="10258" max="10258" width="20" style="4" customWidth="1"/>
    <col min="10259" max="10259" width="29.5703125" style="4" customWidth="1"/>
    <col min="10260" max="10260" width="23.85546875" style="4" customWidth="1"/>
    <col min="10261" max="10261" width="22.140625" style="4" customWidth="1"/>
    <col min="10262" max="10262" width="19.42578125" style="4" customWidth="1"/>
    <col min="10263" max="10263" width="13.85546875" style="4" customWidth="1"/>
    <col min="10264" max="10264" width="12.140625" style="4" customWidth="1"/>
    <col min="10265" max="10265" width="23.140625" style="4" customWidth="1"/>
    <col min="10266" max="10497" width="9.140625" style="4"/>
    <col min="10498" max="10498" width="30.42578125" style="4" customWidth="1"/>
    <col min="10499" max="10499" width="10.85546875" style="4" customWidth="1"/>
    <col min="10500" max="10500" width="11.7109375" style="4" customWidth="1"/>
    <col min="10501" max="10501" width="11.5703125" style="4" customWidth="1"/>
    <col min="10502" max="10502" width="8.7109375" style="4" customWidth="1"/>
    <col min="10503" max="10503" width="16.7109375" style="4" customWidth="1"/>
    <col min="10504" max="10504" width="15.140625" style="4" customWidth="1"/>
    <col min="10505" max="10505" width="13.140625" style="4" customWidth="1"/>
    <col min="10506" max="10506" width="13.42578125" style="4" customWidth="1"/>
    <col min="10507" max="10509" width="12.140625" style="4" customWidth="1"/>
    <col min="10510" max="10510" width="13.5703125" style="4" customWidth="1"/>
    <col min="10511" max="10511" width="16.140625" style="4" customWidth="1"/>
    <col min="10512" max="10512" width="12.85546875" style="4" customWidth="1"/>
    <col min="10513" max="10513" width="20.28515625" style="4" customWidth="1"/>
    <col min="10514" max="10514" width="20" style="4" customWidth="1"/>
    <col min="10515" max="10515" width="29.5703125" style="4" customWidth="1"/>
    <col min="10516" max="10516" width="23.85546875" style="4" customWidth="1"/>
    <col min="10517" max="10517" width="22.140625" style="4" customWidth="1"/>
    <col min="10518" max="10518" width="19.42578125" style="4" customWidth="1"/>
    <col min="10519" max="10519" width="13.85546875" style="4" customWidth="1"/>
    <col min="10520" max="10520" width="12.140625" style="4" customWidth="1"/>
    <col min="10521" max="10521" width="23.140625" style="4" customWidth="1"/>
    <col min="10522" max="10753" width="9.140625" style="4"/>
    <col min="10754" max="10754" width="30.42578125" style="4" customWidth="1"/>
    <col min="10755" max="10755" width="10.85546875" style="4" customWidth="1"/>
    <col min="10756" max="10756" width="11.7109375" style="4" customWidth="1"/>
    <col min="10757" max="10757" width="11.5703125" style="4" customWidth="1"/>
    <col min="10758" max="10758" width="8.7109375" style="4" customWidth="1"/>
    <col min="10759" max="10759" width="16.7109375" style="4" customWidth="1"/>
    <col min="10760" max="10760" width="15.140625" style="4" customWidth="1"/>
    <col min="10761" max="10761" width="13.140625" style="4" customWidth="1"/>
    <col min="10762" max="10762" width="13.42578125" style="4" customWidth="1"/>
    <col min="10763" max="10765" width="12.140625" style="4" customWidth="1"/>
    <col min="10766" max="10766" width="13.5703125" style="4" customWidth="1"/>
    <col min="10767" max="10767" width="16.140625" style="4" customWidth="1"/>
    <col min="10768" max="10768" width="12.85546875" style="4" customWidth="1"/>
    <col min="10769" max="10769" width="20.28515625" style="4" customWidth="1"/>
    <col min="10770" max="10770" width="20" style="4" customWidth="1"/>
    <col min="10771" max="10771" width="29.5703125" style="4" customWidth="1"/>
    <col min="10772" max="10772" width="23.85546875" style="4" customWidth="1"/>
    <col min="10773" max="10773" width="22.140625" style="4" customWidth="1"/>
    <col min="10774" max="10774" width="19.42578125" style="4" customWidth="1"/>
    <col min="10775" max="10775" width="13.85546875" style="4" customWidth="1"/>
    <col min="10776" max="10776" width="12.140625" style="4" customWidth="1"/>
    <col min="10777" max="10777" width="23.140625" style="4" customWidth="1"/>
    <col min="10778" max="11009" width="9.140625" style="4"/>
    <col min="11010" max="11010" width="30.42578125" style="4" customWidth="1"/>
    <col min="11011" max="11011" width="10.85546875" style="4" customWidth="1"/>
    <col min="11012" max="11012" width="11.7109375" style="4" customWidth="1"/>
    <col min="11013" max="11013" width="11.5703125" style="4" customWidth="1"/>
    <col min="11014" max="11014" width="8.7109375" style="4" customWidth="1"/>
    <col min="11015" max="11015" width="16.7109375" style="4" customWidth="1"/>
    <col min="11016" max="11016" width="15.140625" style="4" customWidth="1"/>
    <col min="11017" max="11017" width="13.140625" style="4" customWidth="1"/>
    <col min="11018" max="11018" width="13.42578125" style="4" customWidth="1"/>
    <col min="11019" max="11021" width="12.140625" style="4" customWidth="1"/>
    <col min="11022" max="11022" width="13.5703125" style="4" customWidth="1"/>
    <col min="11023" max="11023" width="16.140625" style="4" customWidth="1"/>
    <col min="11024" max="11024" width="12.85546875" style="4" customWidth="1"/>
    <col min="11025" max="11025" width="20.28515625" style="4" customWidth="1"/>
    <col min="11026" max="11026" width="20" style="4" customWidth="1"/>
    <col min="11027" max="11027" width="29.5703125" style="4" customWidth="1"/>
    <col min="11028" max="11028" width="23.85546875" style="4" customWidth="1"/>
    <col min="11029" max="11029" width="22.140625" style="4" customWidth="1"/>
    <col min="11030" max="11030" width="19.42578125" style="4" customWidth="1"/>
    <col min="11031" max="11031" width="13.85546875" style="4" customWidth="1"/>
    <col min="11032" max="11032" width="12.140625" style="4" customWidth="1"/>
    <col min="11033" max="11033" width="23.140625" style="4" customWidth="1"/>
    <col min="11034" max="11265" width="9.140625" style="4"/>
    <col min="11266" max="11266" width="30.42578125" style="4" customWidth="1"/>
    <col min="11267" max="11267" width="10.85546875" style="4" customWidth="1"/>
    <col min="11268" max="11268" width="11.7109375" style="4" customWidth="1"/>
    <col min="11269" max="11269" width="11.5703125" style="4" customWidth="1"/>
    <col min="11270" max="11270" width="8.7109375" style="4" customWidth="1"/>
    <col min="11271" max="11271" width="16.7109375" style="4" customWidth="1"/>
    <col min="11272" max="11272" width="15.140625" style="4" customWidth="1"/>
    <col min="11273" max="11273" width="13.140625" style="4" customWidth="1"/>
    <col min="11274" max="11274" width="13.42578125" style="4" customWidth="1"/>
    <col min="11275" max="11277" width="12.140625" style="4" customWidth="1"/>
    <col min="11278" max="11278" width="13.5703125" style="4" customWidth="1"/>
    <col min="11279" max="11279" width="16.140625" style="4" customWidth="1"/>
    <col min="11280" max="11280" width="12.85546875" style="4" customWidth="1"/>
    <col min="11281" max="11281" width="20.28515625" style="4" customWidth="1"/>
    <col min="11282" max="11282" width="20" style="4" customWidth="1"/>
    <col min="11283" max="11283" width="29.5703125" style="4" customWidth="1"/>
    <col min="11284" max="11284" width="23.85546875" style="4" customWidth="1"/>
    <col min="11285" max="11285" width="22.140625" style="4" customWidth="1"/>
    <col min="11286" max="11286" width="19.42578125" style="4" customWidth="1"/>
    <col min="11287" max="11287" width="13.85546875" style="4" customWidth="1"/>
    <col min="11288" max="11288" width="12.140625" style="4" customWidth="1"/>
    <col min="11289" max="11289" width="23.140625" style="4" customWidth="1"/>
    <col min="11290" max="11521" width="9.140625" style="4"/>
    <col min="11522" max="11522" width="30.42578125" style="4" customWidth="1"/>
    <col min="11523" max="11523" width="10.85546875" style="4" customWidth="1"/>
    <col min="11524" max="11524" width="11.7109375" style="4" customWidth="1"/>
    <col min="11525" max="11525" width="11.5703125" style="4" customWidth="1"/>
    <col min="11526" max="11526" width="8.7109375" style="4" customWidth="1"/>
    <col min="11527" max="11527" width="16.7109375" style="4" customWidth="1"/>
    <col min="11528" max="11528" width="15.140625" style="4" customWidth="1"/>
    <col min="11529" max="11529" width="13.140625" style="4" customWidth="1"/>
    <col min="11530" max="11530" width="13.42578125" style="4" customWidth="1"/>
    <col min="11531" max="11533" width="12.140625" style="4" customWidth="1"/>
    <col min="11534" max="11534" width="13.5703125" style="4" customWidth="1"/>
    <col min="11535" max="11535" width="16.140625" style="4" customWidth="1"/>
    <col min="11536" max="11536" width="12.85546875" style="4" customWidth="1"/>
    <col min="11537" max="11537" width="20.28515625" style="4" customWidth="1"/>
    <col min="11538" max="11538" width="20" style="4" customWidth="1"/>
    <col min="11539" max="11539" width="29.5703125" style="4" customWidth="1"/>
    <col min="11540" max="11540" width="23.85546875" style="4" customWidth="1"/>
    <col min="11541" max="11541" width="22.140625" style="4" customWidth="1"/>
    <col min="11542" max="11542" width="19.42578125" style="4" customWidth="1"/>
    <col min="11543" max="11543" width="13.85546875" style="4" customWidth="1"/>
    <col min="11544" max="11544" width="12.140625" style="4" customWidth="1"/>
    <col min="11545" max="11545" width="23.140625" style="4" customWidth="1"/>
    <col min="11546" max="11777" width="9.140625" style="4"/>
    <col min="11778" max="11778" width="30.42578125" style="4" customWidth="1"/>
    <col min="11779" max="11779" width="10.85546875" style="4" customWidth="1"/>
    <col min="11780" max="11780" width="11.7109375" style="4" customWidth="1"/>
    <col min="11781" max="11781" width="11.5703125" style="4" customWidth="1"/>
    <col min="11782" max="11782" width="8.7109375" style="4" customWidth="1"/>
    <col min="11783" max="11783" width="16.7109375" style="4" customWidth="1"/>
    <col min="11784" max="11784" width="15.140625" style="4" customWidth="1"/>
    <col min="11785" max="11785" width="13.140625" style="4" customWidth="1"/>
    <col min="11786" max="11786" width="13.42578125" style="4" customWidth="1"/>
    <col min="11787" max="11789" width="12.140625" style="4" customWidth="1"/>
    <col min="11790" max="11790" width="13.5703125" style="4" customWidth="1"/>
    <col min="11791" max="11791" width="16.140625" style="4" customWidth="1"/>
    <col min="11792" max="11792" width="12.85546875" style="4" customWidth="1"/>
    <col min="11793" max="11793" width="20.28515625" style="4" customWidth="1"/>
    <col min="11794" max="11794" width="20" style="4" customWidth="1"/>
    <col min="11795" max="11795" width="29.5703125" style="4" customWidth="1"/>
    <col min="11796" max="11796" width="23.85546875" style="4" customWidth="1"/>
    <col min="11797" max="11797" width="22.140625" style="4" customWidth="1"/>
    <col min="11798" max="11798" width="19.42578125" style="4" customWidth="1"/>
    <col min="11799" max="11799" width="13.85546875" style="4" customWidth="1"/>
    <col min="11800" max="11800" width="12.140625" style="4" customWidth="1"/>
    <col min="11801" max="11801" width="23.140625" style="4" customWidth="1"/>
    <col min="11802" max="12033" width="9.140625" style="4"/>
    <col min="12034" max="12034" width="30.42578125" style="4" customWidth="1"/>
    <col min="12035" max="12035" width="10.85546875" style="4" customWidth="1"/>
    <col min="12036" max="12036" width="11.7109375" style="4" customWidth="1"/>
    <col min="12037" max="12037" width="11.5703125" style="4" customWidth="1"/>
    <col min="12038" max="12038" width="8.7109375" style="4" customWidth="1"/>
    <col min="12039" max="12039" width="16.7109375" style="4" customWidth="1"/>
    <col min="12040" max="12040" width="15.140625" style="4" customWidth="1"/>
    <col min="12041" max="12041" width="13.140625" style="4" customWidth="1"/>
    <col min="12042" max="12042" width="13.42578125" style="4" customWidth="1"/>
    <col min="12043" max="12045" width="12.140625" style="4" customWidth="1"/>
    <col min="12046" max="12046" width="13.5703125" style="4" customWidth="1"/>
    <col min="12047" max="12047" width="16.140625" style="4" customWidth="1"/>
    <col min="12048" max="12048" width="12.85546875" style="4" customWidth="1"/>
    <col min="12049" max="12049" width="20.28515625" style="4" customWidth="1"/>
    <col min="12050" max="12050" width="20" style="4" customWidth="1"/>
    <col min="12051" max="12051" width="29.5703125" style="4" customWidth="1"/>
    <col min="12052" max="12052" width="23.85546875" style="4" customWidth="1"/>
    <col min="12053" max="12053" width="22.140625" style="4" customWidth="1"/>
    <col min="12054" max="12054" width="19.42578125" style="4" customWidth="1"/>
    <col min="12055" max="12055" width="13.85546875" style="4" customWidth="1"/>
    <col min="12056" max="12056" width="12.140625" style="4" customWidth="1"/>
    <col min="12057" max="12057" width="23.140625" style="4" customWidth="1"/>
    <col min="12058" max="12289" width="9.140625" style="4"/>
    <col min="12290" max="12290" width="30.42578125" style="4" customWidth="1"/>
    <col min="12291" max="12291" width="10.85546875" style="4" customWidth="1"/>
    <col min="12292" max="12292" width="11.7109375" style="4" customWidth="1"/>
    <col min="12293" max="12293" width="11.5703125" style="4" customWidth="1"/>
    <col min="12294" max="12294" width="8.7109375" style="4" customWidth="1"/>
    <col min="12295" max="12295" width="16.7109375" style="4" customWidth="1"/>
    <col min="12296" max="12296" width="15.140625" style="4" customWidth="1"/>
    <col min="12297" max="12297" width="13.140625" style="4" customWidth="1"/>
    <col min="12298" max="12298" width="13.42578125" style="4" customWidth="1"/>
    <col min="12299" max="12301" width="12.140625" style="4" customWidth="1"/>
    <col min="12302" max="12302" width="13.5703125" style="4" customWidth="1"/>
    <col min="12303" max="12303" width="16.140625" style="4" customWidth="1"/>
    <col min="12304" max="12304" width="12.85546875" style="4" customWidth="1"/>
    <col min="12305" max="12305" width="20.28515625" style="4" customWidth="1"/>
    <col min="12306" max="12306" width="20" style="4" customWidth="1"/>
    <col min="12307" max="12307" width="29.5703125" style="4" customWidth="1"/>
    <col min="12308" max="12308" width="23.85546875" style="4" customWidth="1"/>
    <col min="12309" max="12309" width="22.140625" style="4" customWidth="1"/>
    <col min="12310" max="12310" width="19.42578125" style="4" customWidth="1"/>
    <col min="12311" max="12311" width="13.85546875" style="4" customWidth="1"/>
    <col min="12312" max="12312" width="12.140625" style="4" customWidth="1"/>
    <col min="12313" max="12313" width="23.140625" style="4" customWidth="1"/>
    <col min="12314" max="12545" width="9.140625" style="4"/>
    <col min="12546" max="12546" width="30.42578125" style="4" customWidth="1"/>
    <col min="12547" max="12547" width="10.85546875" style="4" customWidth="1"/>
    <col min="12548" max="12548" width="11.7109375" style="4" customWidth="1"/>
    <col min="12549" max="12549" width="11.5703125" style="4" customWidth="1"/>
    <col min="12550" max="12550" width="8.7109375" style="4" customWidth="1"/>
    <col min="12551" max="12551" width="16.7109375" style="4" customWidth="1"/>
    <col min="12552" max="12552" width="15.140625" style="4" customWidth="1"/>
    <col min="12553" max="12553" width="13.140625" style="4" customWidth="1"/>
    <col min="12554" max="12554" width="13.42578125" style="4" customWidth="1"/>
    <col min="12555" max="12557" width="12.140625" style="4" customWidth="1"/>
    <col min="12558" max="12558" width="13.5703125" style="4" customWidth="1"/>
    <col min="12559" max="12559" width="16.140625" style="4" customWidth="1"/>
    <col min="12560" max="12560" width="12.85546875" style="4" customWidth="1"/>
    <col min="12561" max="12561" width="20.28515625" style="4" customWidth="1"/>
    <col min="12562" max="12562" width="20" style="4" customWidth="1"/>
    <col min="12563" max="12563" width="29.5703125" style="4" customWidth="1"/>
    <col min="12564" max="12564" width="23.85546875" style="4" customWidth="1"/>
    <col min="12565" max="12565" width="22.140625" style="4" customWidth="1"/>
    <col min="12566" max="12566" width="19.42578125" style="4" customWidth="1"/>
    <col min="12567" max="12567" width="13.85546875" style="4" customWidth="1"/>
    <col min="12568" max="12568" width="12.140625" style="4" customWidth="1"/>
    <col min="12569" max="12569" width="23.140625" style="4" customWidth="1"/>
    <col min="12570" max="12801" width="9.140625" style="4"/>
    <col min="12802" max="12802" width="30.42578125" style="4" customWidth="1"/>
    <col min="12803" max="12803" width="10.85546875" style="4" customWidth="1"/>
    <col min="12804" max="12804" width="11.7109375" style="4" customWidth="1"/>
    <col min="12805" max="12805" width="11.5703125" style="4" customWidth="1"/>
    <col min="12806" max="12806" width="8.7109375" style="4" customWidth="1"/>
    <col min="12807" max="12807" width="16.7109375" style="4" customWidth="1"/>
    <col min="12808" max="12808" width="15.140625" style="4" customWidth="1"/>
    <col min="12809" max="12809" width="13.140625" style="4" customWidth="1"/>
    <col min="12810" max="12810" width="13.42578125" style="4" customWidth="1"/>
    <col min="12811" max="12813" width="12.140625" style="4" customWidth="1"/>
    <col min="12814" max="12814" width="13.5703125" style="4" customWidth="1"/>
    <col min="12815" max="12815" width="16.140625" style="4" customWidth="1"/>
    <col min="12816" max="12816" width="12.85546875" style="4" customWidth="1"/>
    <col min="12817" max="12817" width="20.28515625" style="4" customWidth="1"/>
    <col min="12818" max="12818" width="20" style="4" customWidth="1"/>
    <col min="12819" max="12819" width="29.5703125" style="4" customWidth="1"/>
    <col min="12820" max="12820" width="23.85546875" style="4" customWidth="1"/>
    <col min="12821" max="12821" width="22.140625" style="4" customWidth="1"/>
    <col min="12822" max="12822" width="19.42578125" style="4" customWidth="1"/>
    <col min="12823" max="12823" width="13.85546875" style="4" customWidth="1"/>
    <col min="12824" max="12824" width="12.140625" style="4" customWidth="1"/>
    <col min="12825" max="12825" width="23.140625" style="4" customWidth="1"/>
    <col min="12826" max="13057" width="9.140625" style="4"/>
    <col min="13058" max="13058" width="30.42578125" style="4" customWidth="1"/>
    <col min="13059" max="13059" width="10.85546875" style="4" customWidth="1"/>
    <col min="13060" max="13060" width="11.7109375" style="4" customWidth="1"/>
    <col min="13061" max="13061" width="11.5703125" style="4" customWidth="1"/>
    <col min="13062" max="13062" width="8.7109375" style="4" customWidth="1"/>
    <col min="13063" max="13063" width="16.7109375" style="4" customWidth="1"/>
    <col min="13064" max="13064" width="15.140625" style="4" customWidth="1"/>
    <col min="13065" max="13065" width="13.140625" style="4" customWidth="1"/>
    <col min="13066" max="13066" width="13.42578125" style="4" customWidth="1"/>
    <col min="13067" max="13069" width="12.140625" style="4" customWidth="1"/>
    <col min="13070" max="13070" width="13.5703125" style="4" customWidth="1"/>
    <col min="13071" max="13071" width="16.140625" style="4" customWidth="1"/>
    <col min="13072" max="13072" width="12.85546875" style="4" customWidth="1"/>
    <col min="13073" max="13073" width="20.28515625" style="4" customWidth="1"/>
    <col min="13074" max="13074" width="20" style="4" customWidth="1"/>
    <col min="13075" max="13075" width="29.5703125" style="4" customWidth="1"/>
    <col min="13076" max="13076" width="23.85546875" style="4" customWidth="1"/>
    <col min="13077" max="13077" width="22.140625" style="4" customWidth="1"/>
    <col min="13078" max="13078" width="19.42578125" style="4" customWidth="1"/>
    <col min="13079" max="13079" width="13.85546875" style="4" customWidth="1"/>
    <col min="13080" max="13080" width="12.140625" style="4" customWidth="1"/>
    <col min="13081" max="13081" width="23.140625" style="4" customWidth="1"/>
    <col min="13082" max="13313" width="9.140625" style="4"/>
    <col min="13314" max="13314" width="30.42578125" style="4" customWidth="1"/>
    <col min="13315" max="13315" width="10.85546875" style="4" customWidth="1"/>
    <col min="13316" max="13316" width="11.7109375" style="4" customWidth="1"/>
    <col min="13317" max="13317" width="11.5703125" style="4" customWidth="1"/>
    <col min="13318" max="13318" width="8.7109375" style="4" customWidth="1"/>
    <col min="13319" max="13319" width="16.7109375" style="4" customWidth="1"/>
    <col min="13320" max="13320" width="15.140625" style="4" customWidth="1"/>
    <col min="13321" max="13321" width="13.140625" style="4" customWidth="1"/>
    <col min="13322" max="13322" width="13.42578125" style="4" customWidth="1"/>
    <col min="13323" max="13325" width="12.140625" style="4" customWidth="1"/>
    <col min="13326" max="13326" width="13.5703125" style="4" customWidth="1"/>
    <col min="13327" max="13327" width="16.140625" style="4" customWidth="1"/>
    <col min="13328" max="13328" width="12.85546875" style="4" customWidth="1"/>
    <col min="13329" max="13329" width="20.28515625" style="4" customWidth="1"/>
    <col min="13330" max="13330" width="20" style="4" customWidth="1"/>
    <col min="13331" max="13331" width="29.5703125" style="4" customWidth="1"/>
    <col min="13332" max="13332" width="23.85546875" style="4" customWidth="1"/>
    <col min="13333" max="13333" width="22.140625" style="4" customWidth="1"/>
    <col min="13334" max="13334" width="19.42578125" style="4" customWidth="1"/>
    <col min="13335" max="13335" width="13.85546875" style="4" customWidth="1"/>
    <col min="13336" max="13336" width="12.140625" style="4" customWidth="1"/>
    <col min="13337" max="13337" width="23.140625" style="4" customWidth="1"/>
    <col min="13338" max="13569" width="9.140625" style="4"/>
    <col min="13570" max="13570" width="30.42578125" style="4" customWidth="1"/>
    <col min="13571" max="13571" width="10.85546875" style="4" customWidth="1"/>
    <col min="13572" max="13572" width="11.7109375" style="4" customWidth="1"/>
    <col min="13573" max="13573" width="11.5703125" style="4" customWidth="1"/>
    <col min="13574" max="13574" width="8.7109375" style="4" customWidth="1"/>
    <col min="13575" max="13575" width="16.7109375" style="4" customWidth="1"/>
    <col min="13576" max="13576" width="15.140625" style="4" customWidth="1"/>
    <col min="13577" max="13577" width="13.140625" style="4" customWidth="1"/>
    <col min="13578" max="13578" width="13.42578125" style="4" customWidth="1"/>
    <col min="13579" max="13581" width="12.140625" style="4" customWidth="1"/>
    <col min="13582" max="13582" width="13.5703125" style="4" customWidth="1"/>
    <col min="13583" max="13583" width="16.140625" style="4" customWidth="1"/>
    <col min="13584" max="13584" width="12.85546875" style="4" customWidth="1"/>
    <col min="13585" max="13585" width="20.28515625" style="4" customWidth="1"/>
    <col min="13586" max="13586" width="20" style="4" customWidth="1"/>
    <col min="13587" max="13587" width="29.5703125" style="4" customWidth="1"/>
    <col min="13588" max="13588" width="23.85546875" style="4" customWidth="1"/>
    <col min="13589" max="13589" width="22.140625" style="4" customWidth="1"/>
    <col min="13590" max="13590" width="19.42578125" style="4" customWidth="1"/>
    <col min="13591" max="13591" width="13.85546875" style="4" customWidth="1"/>
    <col min="13592" max="13592" width="12.140625" style="4" customWidth="1"/>
    <col min="13593" max="13593" width="23.140625" style="4" customWidth="1"/>
    <col min="13594" max="13825" width="9.140625" style="4"/>
    <col min="13826" max="13826" width="30.42578125" style="4" customWidth="1"/>
    <col min="13827" max="13827" width="10.85546875" style="4" customWidth="1"/>
    <col min="13828" max="13828" width="11.7109375" style="4" customWidth="1"/>
    <col min="13829" max="13829" width="11.5703125" style="4" customWidth="1"/>
    <col min="13830" max="13830" width="8.7109375" style="4" customWidth="1"/>
    <col min="13831" max="13831" width="16.7109375" style="4" customWidth="1"/>
    <col min="13832" max="13832" width="15.140625" style="4" customWidth="1"/>
    <col min="13833" max="13833" width="13.140625" style="4" customWidth="1"/>
    <col min="13834" max="13834" width="13.42578125" style="4" customWidth="1"/>
    <col min="13835" max="13837" width="12.140625" style="4" customWidth="1"/>
    <col min="13838" max="13838" width="13.5703125" style="4" customWidth="1"/>
    <col min="13839" max="13839" width="16.140625" style="4" customWidth="1"/>
    <col min="13840" max="13840" width="12.85546875" style="4" customWidth="1"/>
    <col min="13841" max="13841" width="20.28515625" style="4" customWidth="1"/>
    <col min="13842" max="13842" width="20" style="4" customWidth="1"/>
    <col min="13843" max="13843" width="29.5703125" style="4" customWidth="1"/>
    <col min="13844" max="13844" width="23.85546875" style="4" customWidth="1"/>
    <col min="13845" max="13845" width="22.140625" style="4" customWidth="1"/>
    <col min="13846" max="13846" width="19.42578125" style="4" customWidth="1"/>
    <col min="13847" max="13847" width="13.85546875" style="4" customWidth="1"/>
    <col min="13848" max="13848" width="12.140625" style="4" customWidth="1"/>
    <col min="13849" max="13849" width="23.140625" style="4" customWidth="1"/>
    <col min="13850" max="14081" width="9.140625" style="4"/>
    <col min="14082" max="14082" width="30.42578125" style="4" customWidth="1"/>
    <col min="14083" max="14083" width="10.85546875" style="4" customWidth="1"/>
    <col min="14084" max="14084" width="11.7109375" style="4" customWidth="1"/>
    <col min="14085" max="14085" width="11.5703125" style="4" customWidth="1"/>
    <col min="14086" max="14086" width="8.7109375" style="4" customWidth="1"/>
    <col min="14087" max="14087" width="16.7109375" style="4" customWidth="1"/>
    <col min="14088" max="14088" width="15.140625" style="4" customWidth="1"/>
    <col min="14089" max="14089" width="13.140625" style="4" customWidth="1"/>
    <col min="14090" max="14090" width="13.42578125" style="4" customWidth="1"/>
    <col min="14091" max="14093" width="12.140625" style="4" customWidth="1"/>
    <col min="14094" max="14094" width="13.5703125" style="4" customWidth="1"/>
    <col min="14095" max="14095" width="16.140625" style="4" customWidth="1"/>
    <col min="14096" max="14096" width="12.85546875" style="4" customWidth="1"/>
    <col min="14097" max="14097" width="20.28515625" style="4" customWidth="1"/>
    <col min="14098" max="14098" width="20" style="4" customWidth="1"/>
    <col min="14099" max="14099" width="29.5703125" style="4" customWidth="1"/>
    <col min="14100" max="14100" width="23.85546875" style="4" customWidth="1"/>
    <col min="14101" max="14101" width="22.140625" style="4" customWidth="1"/>
    <col min="14102" max="14102" width="19.42578125" style="4" customWidth="1"/>
    <col min="14103" max="14103" width="13.85546875" style="4" customWidth="1"/>
    <col min="14104" max="14104" width="12.140625" style="4" customWidth="1"/>
    <col min="14105" max="14105" width="23.140625" style="4" customWidth="1"/>
    <col min="14106" max="14337" width="9.140625" style="4"/>
    <col min="14338" max="14338" width="30.42578125" style="4" customWidth="1"/>
    <col min="14339" max="14339" width="10.85546875" style="4" customWidth="1"/>
    <col min="14340" max="14340" width="11.7109375" style="4" customWidth="1"/>
    <col min="14341" max="14341" width="11.5703125" style="4" customWidth="1"/>
    <col min="14342" max="14342" width="8.7109375" style="4" customWidth="1"/>
    <col min="14343" max="14343" width="16.7109375" style="4" customWidth="1"/>
    <col min="14344" max="14344" width="15.140625" style="4" customWidth="1"/>
    <col min="14345" max="14345" width="13.140625" style="4" customWidth="1"/>
    <col min="14346" max="14346" width="13.42578125" style="4" customWidth="1"/>
    <col min="14347" max="14349" width="12.140625" style="4" customWidth="1"/>
    <col min="14350" max="14350" width="13.5703125" style="4" customWidth="1"/>
    <col min="14351" max="14351" width="16.140625" style="4" customWidth="1"/>
    <col min="14352" max="14352" width="12.85546875" style="4" customWidth="1"/>
    <col min="14353" max="14353" width="20.28515625" style="4" customWidth="1"/>
    <col min="14354" max="14354" width="20" style="4" customWidth="1"/>
    <col min="14355" max="14355" width="29.5703125" style="4" customWidth="1"/>
    <col min="14356" max="14356" width="23.85546875" style="4" customWidth="1"/>
    <col min="14357" max="14357" width="22.140625" style="4" customWidth="1"/>
    <col min="14358" max="14358" width="19.42578125" style="4" customWidth="1"/>
    <col min="14359" max="14359" width="13.85546875" style="4" customWidth="1"/>
    <col min="14360" max="14360" width="12.140625" style="4" customWidth="1"/>
    <col min="14361" max="14361" width="23.140625" style="4" customWidth="1"/>
    <col min="14362" max="14593" width="9.140625" style="4"/>
    <col min="14594" max="14594" width="30.42578125" style="4" customWidth="1"/>
    <col min="14595" max="14595" width="10.85546875" style="4" customWidth="1"/>
    <col min="14596" max="14596" width="11.7109375" style="4" customWidth="1"/>
    <col min="14597" max="14597" width="11.5703125" style="4" customWidth="1"/>
    <col min="14598" max="14598" width="8.7109375" style="4" customWidth="1"/>
    <col min="14599" max="14599" width="16.7109375" style="4" customWidth="1"/>
    <col min="14600" max="14600" width="15.140625" style="4" customWidth="1"/>
    <col min="14601" max="14601" width="13.140625" style="4" customWidth="1"/>
    <col min="14602" max="14602" width="13.42578125" style="4" customWidth="1"/>
    <col min="14603" max="14605" width="12.140625" style="4" customWidth="1"/>
    <col min="14606" max="14606" width="13.5703125" style="4" customWidth="1"/>
    <col min="14607" max="14607" width="16.140625" style="4" customWidth="1"/>
    <col min="14608" max="14608" width="12.85546875" style="4" customWidth="1"/>
    <col min="14609" max="14609" width="20.28515625" style="4" customWidth="1"/>
    <col min="14610" max="14610" width="20" style="4" customWidth="1"/>
    <col min="14611" max="14611" width="29.5703125" style="4" customWidth="1"/>
    <col min="14612" max="14612" width="23.85546875" style="4" customWidth="1"/>
    <col min="14613" max="14613" width="22.140625" style="4" customWidth="1"/>
    <col min="14614" max="14614" width="19.42578125" style="4" customWidth="1"/>
    <col min="14615" max="14615" width="13.85546875" style="4" customWidth="1"/>
    <col min="14616" max="14616" width="12.140625" style="4" customWidth="1"/>
    <col min="14617" max="14617" width="23.140625" style="4" customWidth="1"/>
    <col min="14618" max="14849" width="9.140625" style="4"/>
    <col min="14850" max="14850" width="30.42578125" style="4" customWidth="1"/>
    <col min="14851" max="14851" width="10.85546875" style="4" customWidth="1"/>
    <col min="14852" max="14852" width="11.7109375" style="4" customWidth="1"/>
    <col min="14853" max="14853" width="11.5703125" style="4" customWidth="1"/>
    <col min="14854" max="14854" width="8.7109375" style="4" customWidth="1"/>
    <col min="14855" max="14855" width="16.7109375" style="4" customWidth="1"/>
    <col min="14856" max="14856" width="15.140625" style="4" customWidth="1"/>
    <col min="14857" max="14857" width="13.140625" style="4" customWidth="1"/>
    <col min="14858" max="14858" width="13.42578125" style="4" customWidth="1"/>
    <col min="14859" max="14861" width="12.140625" style="4" customWidth="1"/>
    <col min="14862" max="14862" width="13.5703125" style="4" customWidth="1"/>
    <col min="14863" max="14863" width="16.140625" style="4" customWidth="1"/>
    <col min="14864" max="14864" width="12.85546875" style="4" customWidth="1"/>
    <col min="14865" max="14865" width="20.28515625" style="4" customWidth="1"/>
    <col min="14866" max="14866" width="20" style="4" customWidth="1"/>
    <col min="14867" max="14867" width="29.5703125" style="4" customWidth="1"/>
    <col min="14868" max="14868" width="23.85546875" style="4" customWidth="1"/>
    <col min="14869" max="14869" width="22.140625" style="4" customWidth="1"/>
    <col min="14870" max="14870" width="19.42578125" style="4" customWidth="1"/>
    <col min="14871" max="14871" width="13.85546875" style="4" customWidth="1"/>
    <col min="14872" max="14872" width="12.140625" style="4" customWidth="1"/>
    <col min="14873" max="14873" width="23.140625" style="4" customWidth="1"/>
    <col min="14874" max="15105" width="9.140625" style="4"/>
    <col min="15106" max="15106" width="30.42578125" style="4" customWidth="1"/>
    <col min="15107" max="15107" width="10.85546875" style="4" customWidth="1"/>
    <col min="15108" max="15108" width="11.7109375" style="4" customWidth="1"/>
    <col min="15109" max="15109" width="11.5703125" style="4" customWidth="1"/>
    <col min="15110" max="15110" width="8.7109375" style="4" customWidth="1"/>
    <col min="15111" max="15111" width="16.7109375" style="4" customWidth="1"/>
    <col min="15112" max="15112" width="15.140625" style="4" customWidth="1"/>
    <col min="15113" max="15113" width="13.140625" style="4" customWidth="1"/>
    <col min="15114" max="15114" width="13.42578125" style="4" customWidth="1"/>
    <col min="15115" max="15117" width="12.140625" style="4" customWidth="1"/>
    <col min="15118" max="15118" width="13.5703125" style="4" customWidth="1"/>
    <col min="15119" max="15119" width="16.140625" style="4" customWidth="1"/>
    <col min="15120" max="15120" width="12.85546875" style="4" customWidth="1"/>
    <col min="15121" max="15121" width="20.28515625" style="4" customWidth="1"/>
    <col min="15122" max="15122" width="20" style="4" customWidth="1"/>
    <col min="15123" max="15123" width="29.5703125" style="4" customWidth="1"/>
    <col min="15124" max="15124" width="23.85546875" style="4" customWidth="1"/>
    <col min="15125" max="15125" width="22.140625" style="4" customWidth="1"/>
    <col min="15126" max="15126" width="19.42578125" style="4" customWidth="1"/>
    <col min="15127" max="15127" width="13.85546875" style="4" customWidth="1"/>
    <col min="15128" max="15128" width="12.140625" style="4" customWidth="1"/>
    <col min="15129" max="15129" width="23.140625" style="4" customWidth="1"/>
    <col min="15130" max="15361" width="9.140625" style="4"/>
    <col min="15362" max="15362" width="30.42578125" style="4" customWidth="1"/>
    <col min="15363" max="15363" width="10.85546875" style="4" customWidth="1"/>
    <col min="15364" max="15364" width="11.7109375" style="4" customWidth="1"/>
    <col min="15365" max="15365" width="11.5703125" style="4" customWidth="1"/>
    <col min="15366" max="15366" width="8.7109375" style="4" customWidth="1"/>
    <col min="15367" max="15367" width="16.7109375" style="4" customWidth="1"/>
    <col min="15368" max="15368" width="15.140625" style="4" customWidth="1"/>
    <col min="15369" max="15369" width="13.140625" style="4" customWidth="1"/>
    <col min="15370" max="15370" width="13.42578125" style="4" customWidth="1"/>
    <col min="15371" max="15373" width="12.140625" style="4" customWidth="1"/>
    <col min="15374" max="15374" width="13.5703125" style="4" customWidth="1"/>
    <col min="15375" max="15375" width="16.140625" style="4" customWidth="1"/>
    <col min="15376" max="15376" width="12.85546875" style="4" customWidth="1"/>
    <col min="15377" max="15377" width="20.28515625" style="4" customWidth="1"/>
    <col min="15378" max="15378" width="20" style="4" customWidth="1"/>
    <col min="15379" max="15379" width="29.5703125" style="4" customWidth="1"/>
    <col min="15380" max="15380" width="23.85546875" style="4" customWidth="1"/>
    <col min="15381" max="15381" width="22.140625" style="4" customWidth="1"/>
    <col min="15382" max="15382" width="19.42578125" style="4" customWidth="1"/>
    <col min="15383" max="15383" width="13.85546875" style="4" customWidth="1"/>
    <col min="15384" max="15384" width="12.140625" style="4" customWidth="1"/>
    <col min="15385" max="15385" width="23.140625" style="4" customWidth="1"/>
    <col min="15386" max="15617" width="9.140625" style="4"/>
    <col min="15618" max="15618" width="30.42578125" style="4" customWidth="1"/>
    <col min="15619" max="15619" width="10.85546875" style="4" customWidth="1"/>
    <col min="15620" max="15620" width="11.7109375" style="4" customWidth="1"/>
    <col min="15621" max="15621" width="11.5703125" style="4" customWidth="1"/>
    <col min="15622" max="15622" width="8.7109375" style="4" customWidth="1"/>
    <col min="15623" max="15623" width="16.7109375" style="4" customWidth="1"/>
    <col min="15624" max="15624" width="15.140625" style="4" customWidth="1"/>
    <col min="15625" max="15625" width="13.140625" style="4" customWidth="1"/>
    <col min="15626" max="15626" width="13.42578125" style="4" customWidth="1"/>
    <col min="15627" max="15629" width="12.140625" style="4" customWidth="1"/>
    <col min="15630" max="15630" width="13.5703125" style="4" customWidth="1"/>
    <col min="15631" max="15631" width="16.140625" style="4" customWidth="1"/>
    <col min="15632" max="15632" width="12.85546875" style="4" customWidth="1"/>
    <col min="15633" max="15633" width="20.28515625" style="4" customWidth="1"/>
    <col min="15634" max="15634" width="20" style="4" customWidth="1"/>
    <col min="15635" max="15635" width="29.5703125" style="4" customWidth="1"/>
    <col min="15636" max="15636" width="23.85546875" style="4" customWidth="1"/>
    <col min="15637" max="15637" width="22.140625" style="4" customWidth="1"/>
    <col min="15638" max="15638" width="19.42578125" style="4" customWidth="1"/>
    <col min="15639" max="15639" width="13.85546875" style="4" customWidth="1"/>
    <col min="15640" max="15640" width="12.140625" style="4" customWidth="1"/>
    <col min="15641" max="15641" width="23.140625" style="4" customWidth="1"/>
    <col min="15642" max="15873" width="9.140625" style="4"/>
    <col min="15874" max="15874" width="30.42578125" style="4" customWidth="1"/>
    <col min="15875" max="15875" width="10.85546875" style="4" customWidth="1"/>
    <col min="15876" max="15876" width="11.7109375" style="4" customWidth="1"/>
    <col min="15877" max="15877" width="11.5703125" style="4" customWidth="1"/>
    <col min="15878" max="15878" width="8.7109375" style="4" customWidth="1"/>
    <col min="15879" max="15879" width="16.7109375" style="4" customWidth="1"/>
    <col min="15880" max="15880" width="15.140625" style="4" customWidth="1"/>
    <col min="15881" max="15881" width="13.140625" style="4" customWidth="1"/>
    <col min="15882" max="15882" width="13.42578125" style="4" customWidth="1"/>
    <col min="15883" max="15885" width="12.140625" style="4" customWidth="1"/>
    <col min="15886" max="15886" width="13.5703125" style="4" customWidth="1"/>
    <col min="15887" max="15887" width="16.140625" style="4" customWidth="1"/>
    <col min="15888" max="15888" width="12.85546875" style="4" customWidth="1"/>
    <col min="15889" max="15889" width="20.28515625" style="4" customWidth="1"/>
    <col min="15890" max="15890" width="20" style="4" customWidth="1"/>
    <col min="15891" max="15891" width="29.5703125" style="4" customWidth="1"/>
    <col min="15892" max="15892" width="23.85546875" style="4" customWidth="1"/>
    <col min="15893" max="15893" width="22.140625" style="4" customWidth="1"/>
    <col min="15894" max="15894" width="19.42578125" style="4" customWidth="1"/>
    <col min="15895" max="15895" width="13.85546875" style="4" customWidth="1"/>
    <col min="15896" max="15896" width="12.140625" style="4" customWidth="1"/>
    <col min="15897" max="15897" width="23.140625" style="4" customWidth="1"/>
    <col min="15898" max="16129" width="9.140625" style="4"/>
    <col min="16130" max="16130" width="30.42578125" style="4" customWidth="1"/>
    <col min="16131" max="16131" width="10.85546875" style="4" customWidth="1"/>
    <col min="16132" max="16132" width="11.7109375" style="4" customWidth="1"/>
    <col min="16133" max="16133" width="11.5703125" style="4" customWidth="1"/>
    <col min="16134" max="16134" width="8.7109375" style="4" customWidth="1"/>
    <col min="16135" max="16135" width="16.7109375" style="4" customWidth="1"/>
    <col min="16136" max="16136" width="15.140625" style="4" customWidth="1"/>
    <col min="16137" max="16137" width="13.140625" style="4" customWidth="1"/>
    <col min="16138" max="16138" width="13.42578125" style="4" customWidth="1"/>
    <col min="16139" max="16141" width="12.140625" style="4" customWidth="1"/>
    <col min="16142" max="16142" width="13.5703125" style="4" customWidth="1"/>
    <col min="16143" max="16143" width="16.140625" style="4" customWidth="1"/>
    <col min="16144" max="16144" width="12.85546875" style="4" customWidth="1"/>
    <col min="16145" max="16145" width="20.28515625" style="4" customWidth="1"/>
    <col min="16146" max="16146" width="20" style="4" customWidth="1"/>
    <col min="16147" max="16147" width="29.5703125" style="4" customWidth="1"/>
    <col min="16148" max="16148" width="23.85546875" style="4" customWidth="1"/>
    <col min="16149" max="16149" width="22.140625" style="4" customWidth="1"/>
    <col min="16150" max="16150" width="19.42578125" style="4" customWidth="1"/>
    <col min="16151" max="16151" width="13.85546875" style="4" customWidth="1"/>
    <col min="16152" max="16152" width="12.140625" style="4" customWidth="1"/>
    <col min="16153" max="16153" width="23.140625" style="4" customWidth="1"/>
    <col min="16154" max="16384" width="9.140625" style="4"/>
  </cols>
  <sheetData>
    <row r="1" spans="1:31" s="341" customFormat="1" ht="26.25" outlineLevel="1" thickBot="1" x14ac:dyDescent="0.3">
      <c r="A1" s="400" t="s">
        <v>171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332"/>
    </row>
    <row r="2" spans="1:31" s="341" customFormat="1" ht="27" customHeight="1" outlineLevel="1" thickBot="1" x14ac:dyDescent="0.3">
      <c r="A2" s="14"/>
      <c r="B2" s="15"/>
      <c r="C2" s="24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6"/>
      <c r="T2" s="477" t="s">
        <v>14</v>
      </c>
      <c r="U2" s="478"/>
      <c r="V2" s="479"/>
      <c r="W2" s="401" t="s">
        <v>16</v>
      </c>
      <c r="X2" s="480"/>
      <c r="Y2" s="369"/>
      <c r="Z2" s="332"/>
    </row>
    <row r="3" spans="1:31" s="17" customFormat="1" ht="162.75" customHeight="1" thickBot="1" x14ac:dyDescent="0.3">
      <c r="A3" s="205" t="s">
        <v>155</v>
      </c>
      <c r="B3" s="243" t="s">
        <v>22</v>
      </c>
      <c r="C3" s="243" t="s">
        <v>157</v>
      </c>
      <c r="D3" s="206" t="s">
        <v>0</v>
      </c>
      <c r="E3" s="207" t="s">
        <v>158</v>
      </c>
      <c r="F3" s="342" t="s">
        <v>159</v>
      </c>
      <c r="G3" s="209" t="s">
        <v>245</v>
      </c>
      <c r="H3" s="209" t="s">
        <v>160</v>
      </c>
      <c r="I3" s="210" t="s">
        <v>19</v>
      </c>
      <c r="J3" s="211" t="s">
        <v>204</v>
      </c>
      <c r="K3" s="209" t="s">
        <v>161</v>
      </c>
      <c r="L3" s="209" t="s">
        <v>162</v>
      </c>
      <c r="M3" s="209" t="s">
        <v>163</v>
      </c>
      <c r="N3" s="209" t="s">
        <v>3</v>
      </c>
      <c r="O3" s="416" t="s">
        <v>3</v>
      </c>
      <c r="P3" s="417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209" t="str">
        <f>CONCATENATE("Резерв мощности с учётом присоединённых потребителей и заключенных договоров ТП(105%)")</f>
        <v>Резерв мощности с учётом присоединённых потребителей и заключенных договоров ТП(105%)</v>
      </c>
      <c r="R3" s="209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374" t="s">
        <v>247</v>
      </c>
      <c r="T3" s="343" t="s">
        <v>15</v>
      </c>
      <c r="U3" s="244" t="s">
        <v>164</v>
      </c>
      <c r="V3" s="245" t="s">
        <v>165</v>
      </c>
      <c r="W3" s="245" t="s">
        <v>12</v>
      </c>
      <c r="X3" s="246" t="s">
        <v>13</v>
      </c>
      <c r="Y3" s="370" t="s">
        <v>205</v>
      </c>
      <c r="Z3" s="368"/>
      <c r="AA3" s="368"/>
      <c r="AB3" s="368"/>
      <c r="AC3" s="368"/>
      <c r="AD3" s="264"/>
    </row>
    <row r="4" spans="1:31" s="341" customFormat="1" ht="15.75" customHeight="1" thickBot="1" x14ac:dyDescent="0.3">
      <c r="A4" s="333"/>
      <c r="B4" s="333"/>
      <c r="C4" s="215"/>
      <c r="D4" s="215"/>
      <c r="E4" s="215"/>
      <c r="F4" s="334" t="s">
        <v>5</v>
      </c>
      <c r="G4" s="334" t="s">
        <v>5</v>
      </c>
      <c r="H4" s="334" t="s">
        <v>206</v>
      </c>
      <c r="I4" s="334" t="s">
        <v>206</v>
      </c>
      <c r="J4" s="334" t="s">
        <v>5</v>
      </c>
      <c r="K4" s="334" t="s">
        <v>206</v>
      </c>
      <c r="L4" s="334" t="s">
        <v>206</v>
      </c>
      <c r="M4" s="334" t="s">
        <v>206</v>
      </c>
      <c r="N4" s="334" t="s">
        <v>5</v>
      </c>
      <c r="O4" s="334" t="s">
        <v>6</v>
      </c>
      <c r="P4" s="335" t="s">
        <v>5</v>
      </c>
      <c r="Q4" s="335" t="s">
        <v>5</v>
      </c>
      <c r="R4" s="335" t="s">
        <v>5</v>
      </c>
      <c r="S4" s="335" t="s">
        <v>5</v>
      </c>
      <c r="T4" s="335"/>
      <c r="U4" s="335"/>
      <c r="V4" s="335"/>
      <c r="W4" s="335"/>
      <c r="X4" s="335"/>
      <c r="Y4" s="371"/>
      <c r="Z4" s="49"/>
      <c r="AA4" s="49"/>
      <c r="AB4" s="49"/>
      <c r="AC4" s="49"/>
      <c r="AD4" s="49"/>
    </row>
    <row r="5" spans="1:31" s="341" customFormat="1" ht="24.75" customHeight="1" x14ac:dyDescent="0.25">
      <c r="A5" s="475" t="s">
        <v>207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382"/>
      <c r="Z5" s="332"/>
    </row>
    <row r="6" spans="1:31" outlineLevel="1" x14ac:dyDescent="0.25">
      <c r="A6" s="222" t="s">
        <v>208</v>
      </c>
      <c r="B6" s="345" t="s">
        <v>209</v>
      </c>
      <c r="C6" s="223"/>
      <c r="D6" s="223"/>
      <c r="E6" s="223"/>
      <c r="F6" s="346">
        <f>F7+F8+F9</f>
        <v>2301</v>
      </c>
      <c r="G6" s="312">
        <f>G7+G8+G9</f>
        <v>869.64</v>
      </c>
      <c r="H6" s="347">
        <f>H7+H8+H9</f>
        <v>8.798</v>
      </c>
      <c r="I6" s="12">
        <f>H6+99.597</f>
        <v>108.395</v>
      </c>
      <c r="J6" s="1">
        <f>G6+(I6)</f>
        <v>978.03499999999997</v>
      </c>
      <c r="K6" s="1"/>
      <c r="L6" s="1"/>
      <c r="M6" s="219"/>
      <c r="N6" s="1">
        <f>J6</f>
        <v>978.03499999999997</v>
      </c>
      <c r="O6" s="220">
        <f>N6/F6*100</f>
        <v>42.504780530204258</v>
      </c>
      <c r="P6" s="348">
        <f>IF(N6&gt;((F8+F9)*1.05),0,((F8+F9)*1.05)-G6)</f>
        <v>705.36</v>
      </c>
      <c r="Q6" s="350"/>
      <c r="R6" s="350"/>
      <c r="S6" s="219"/>
      <c r="T6" s="458" t="s">
        <v>11</v>
      </c>
      <c r="U6" s="458" t="s">
        <v>198</v>
      </c>
      <c r="V6" s="458" t="s">
        <v>210</v>
      </c>
      <c r="W6" s="458"/>
      <c r="X6" s="472"/>
      <c r="Y6" s="458"/>
      <c r="Z6" s="212"/>
      <c r="AA6" s="212"/>
      <c r="AB6" s="212"/>
      <c r="AC6" s="212"/>
      <c r="AD6" s="212"/>
    </row>
    <row r="7" spans="1:31" outlineLevel="1" x14ac:dyDescent="0.25">
      <c r="A7" s="349" t="s">
        <v>211</v>
      </c>
      <c r="B7" s="224"/>
      <c r="C7" s="219"/>
      <c r="D7" s="219"/>
      <c r="E7" s="219"/>
      <c r="F7" s="192">
        <f>267*3</f>
        <v>801</v>
      </c>
      <c r="G7" s="312">
        <v>269.44</v>
      </c>
      <c r="H7" s="347">
        <v>8.798</v>
      </c>
      <c r="I7" s="12"/>
      <c r="J7" s="1"/>
      <c r="K7" s="1"/>
      <c r="L7" s="1"/>
      <c r="M7" s="468">
        <v>472.15</v>
      </c>
      <c r="N7" s="1"/>
      <c r="O7" s="220"/>
      <c r="P7" s="348"/>
      <c r="Q7" s="219"/>
      <c r="R7" s="219"/>
      <c r="S7" s="219"/>
      <c r="T7" s="459"/>
      <c r="U7" s="459"/>
      <c r="V7" s="459"/>
      <c r="W7" s="459"/>
      <c r="X7" s="473"/>
      <c r="Y7" s="459"/>
      <c r="Z7" s="212"/>
      <c r="AA7" s="212"/>
      <c r="AB7" s="212"/>
      <c r="AC7" s="212"/>
      <c r="AD7" s="212"/>
    </row>
    <row r="8" spans="1:31" outlineLevel="1" x14ac:dyDescent="0.25">
      <c r="A8" s="349" t="s">
        <v>212</v>
      </c>
      <c r="B8" s="224"/>
      <c r="C8" s="219"/>
      <c r="D8" s="219"/>
      <c r="E8" s="219"/>
      <c r="F8" s="192">
        <f>250*3</f>
        <v>750</v>
      </c>
      <c r="G8" s="312">
        <v>297.94</v>
      </c>
      <c r="H8" s="12"/>
      <c r="I8" s="12"/>
      <c r="J8" s="1"/>
      <c r="K8" s="1"/>
      <c r="L8" s="1"/>
      <c r="M8" s="469"/>
      <c r="N8" s="1"/>
      <c r="O8" s="220"/>
      <c r="P8" s="348"/>
      <c r="Q8" s="219"/>
      <c r="R8" s="219"/>
      <c r="S8" s="219"/>
      <c r="T8" s="459"/>
      <c r="U8" s="459"/>
      <c r="V8" s="459"/>
      <c r="W8" s="459"/>
      <c r="X8" s="473"/>
      <c r="Y8" s="459"/>
      <c r="Z8" s="212"/>
      <c r="AA8" s="212"/>
      <c r="AB8" s="212"/>
      <c r="AC8" s="212"/>
      <c r="AD8" s="212"/>
    </row>
    <row r="9" spans="1:31" outlineLevel="1" x14ac:dyDescent="0.25">
      <c r="A9" s="349" t="s">
        <v>213</v>
      </c>
      <c r="B9" s="224"/>
      <c r="C9" s="219"/>
      <c r="D9" s="219"/>
      <c r="E9" s="219"/>
      <c r="F9" s="192">
        <f>250*3</f>
        <v>750</v>
      </c>
      <c r="G9" s="312">
        <v>302.26</v>
      </c>
      <c r="H9" s="12"/>
      <c r="I9" s="12"/>
      <c r="J9" s="1"/>
      <c r="K9" s="1"/>
      <c r="L9" s="1"/>
      <c r="M9" s="470"/>
      <c r="N9" s="1"/>
      <c r="O9" s="220"/>
      <c r="P9" s="348"/>
      <c r="Q9" s="219"/>
      <c r="R9" s="219"/>
      <c r="S9" s="219"/>
      <c r="T9" s="460"/>
      <c r="U9" s="460"/>
      <c r="V9" s="460"/>
      <c r="W9" s="460"/>
      <c r="X9" s="474"/>
      <c r="Y9" s="460"/>
      <c r="Z9" s="212"/>
      <c r="AA9" s="212"/>
      <c r="AB9" s="212"/>
      <c r="AC9" s="212"/>
      <c r="AD9" s="212"/>
    </row>
    <row r="10" spans="1:31" x14ac:dyDescent="0.25">
      <c r="A10" s="305" t="s">
        <v>214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7"/>
      <c r="Z10" s="212"/>
      <c r="AA10" s="212"/>
      <c r="AB10" s="212"/>
      <c r="AC10" s="212"/>
      <c r="AD10" s="212"/>
    </row>
    <row r="11" spans="1:31" s="341" customFormat="1" ht="15" customHeight="1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8"/>
      <c r="Z11" s="317"/>
      <c r="AB11" s="49"/>
      <c r="AC11" s="49"/>
      <c r="AD11" s="49"/>
      <c r="AE11" s="49"/>
    </row>
    <row r="12" spans="1:31" ht="15.75" x14ac:dyDescent="0.25">
      <c r="A12" s="351" t="s">
        <v>215</v>
      </c>
      <c r="B12" s="229"/>
      <c r="C12" s="223"/>
      <c r="D12" s="223" t="s">
        <v>98</v>
      </c>
      <c r="E12" s="223"/>
      <c r="F12" s="230">
        <f>F13+F14</f>
        <v>80</v>
      </c>
      <c r="G12" s="249">
        <f>SUM(G13:G14)</f>
        <v>13.681000000000001</v>
      </c>
      <c r="H12" s="231">
        <f>9.209+8.715+0.841+1.037</f>
        <v>19.802</v>
      </c>
      <c r="I12" s="231">
        <f>H12</f>
        <v>19.802</v>
      </c>
      <c r="J12" s="12">
        <f>G12+(I12)</f>
        <v>33.483000000000004</v>
      </c>
      <c r="K12" s="2">
        <f>K13+K14</f>
        <v>0</v>
      </c>
      <c r="L12" s="2">
        <f>L13+L14</f>
        <v>17.193000000000001</v>
      </c>
      <c r="M12" s="2">
        <f>M13+M14</f>
        <v>12.628</v>
      </c>
      <c r="N12" s="1"/>
      <c r="O12" s="220"/>
      <c r="P12" s="219"/>
      <c r="Q12" s="350"/>
      <c r="R12" s="350"/>
      <c r="S12" s="219"/>
      <c r="T12" s="458" t="s">
        <v>11</v>
      </c>
      <c r="U12" s="458" t="s">
        <v>198</v>
      </c>
      <c r="V12" s="458"/>
      <c r="W12" s="458" t="s">
        <v>216</v>
      </c>
      <c r="X12" s="458" t="s">
        <v>217</v>
      </c>
      <c r="Y12" s="458"/>
      <c r="Z12" s="212"/>
      <c r="AA12" s="212"/>
      <c r="AB12" s="212"/>
      <c r="AC12" s="212"/>
      <c r="AD12" s="212"/>
    </row>
    <row r="13" spans="1:31" x14ac:dyDescent="0.25">
      <c r="A13" s="232" t="s">
        <v>10</v>
      </c>
      <c r="B13" s="233"/>
      <c r="C13" s="233"/>
      <c r="D13" s="233"/>
      <c r="E13" s="233"/>
      <c r="F13" s="234">
        <v>40</v>
      </c>
      <c r="G13" s="235">
        <v>11.467000000000001</v>
      </c>
      <c r="H13" s="231">
        <v>9.2089999999999996</v>
      </c>
      <c r="I13" s="231"/>
      <c r="J13" s="12"/>
      <c r="K13" s="2">
        <v>0</v>
      </c>
      <c r="L13" s="2">
        <f>6.941+4.565</f>
        <v>11.506</v>
      </c>
      <c r="M13" s="11">
        <v>6.9409999999999989</v>
      </c>
      <c r="N13" s="1">
        <f>J12</f>
        <v>33.483000000000004</v>
      </c>
      <c r="O13" s="220">
        <f>N13/F13*100</f>
        <v>83.70750000000001</v>
      </c>
      <c r="P13" s="236">
        <f>IF(G12&gt;(F13*1.05),0,(F13*1.05)-G12)</f>
        <v>28.318999999999999</v>
      </c>
      <c r="Q13" s="236">
        <f>IF(N13&gt;(F13*1.05),0,(F13*1.05)-N13)</f>
        <v>8.5169999999999959</v>
      </c>
      <c r="R13" s="236">
        <f>IF(N13&gt;(F13*1.05),0,(F13*1.05)-N13)</f>
        <v>8.5169999999999959</v>
      </c>
      <c r="S13" s="236">
        <f>R13</f>
        <v>8.5169999999999959</v>
      </c>
      <c r="T13" s="459"/>
      <c r="U13" s="459"/>
      <c r="V13" s="459"/>
      <c r="W13" s="459"/>
      <c r="X13" s="459"/>
      <c r="Y13" s="459"/>
      <c r="Z13" s="212"/>
      <c r="AA13" s="212"/>
      <c r="AB13" s="212"/>
      <c r="AC13" s="212"/>
      <c r="AD13" s="212"/>
    </row>
    <row r="14" spans="1:31" x14ac:dyDescent="0.25">
      <c r="A14" s="232" t="s">
        <v>7</v>
      </c>
      <c r="B14" s="233"/>
      <c r="C14" s="233"/>
      <c r="D14" s="233"/>
      <c r="E14" s="233"/>
      <c r="F14" s="234">
        <v>40</v>
      </c>
      <c r="G14" s="235">
        <v>2.214</v>
      </c>
      <c r="H14" s="231"/>
      <c r="I14" s="231"/>
      <c r="J14" s="12"/>
      <c r="K14" s="2">
        <v>0</v>
      </c>
      <c r="L14" s="2">
        <v>5.6870000000000003</v>
      </c>
      <c r="M14" s="2">
        <v>5.6870000000000003</v>
      </c>
      <c r="N14" s="1"/>
      <c r="O14" s="220"/>
      <c r="P14" s="237"/>
      <c r="Q14" s="238"/>
      <c r="R14" s="238"/>
      <c r="S14" s="237"/>
      <c r="T14" s="460"/>
      <c r="U14" s="460"/>
      <c r="V14" s="460"/>
      <c r="W14" s="460"/>
      <c r="X14" s="460"/>
      <c r="Y14" s="460"/>
      <c r="Z14" s="212"/>
      <c r="AA14" s="212"/>
      <c r="AB14" s="212"/>
      <c r="AC14" s="212"/>
      <c r="AD14" s="212"/>
    </row>
    <row r="15" spans="1:31" s="341" customFormat="1" ht="15" customHeight="1" x14ac:dyDescent="0.25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8"/>
      <c r="Z15" s="317"/>
      <c r="AB15" s="49"/>
      <c r="AC15" s="49"/>
      <c r="AD15" s="49"/>
      <c r="AE15" s="49"/>
    </row>
    <row r="16" spans="1:31" s="341" customFormat="1" ht="15" x14ac:dyDescent="0.25">
      <c r="A16" s="352" t="s">
        <v>218</v>
      </c>
      <c r="B16" s="313"/>
      <c r="C16" s="219"/>
      <c r="D16" s="219" t="s">
        <v>47</v>
      </c>
      <c r="E16" s="219"/>
      <c r="F16" s="158">
        <v>32</v>
      </c>
      <c r="G16" s="312">
        <f>G17+G18</f>
        <v>6.08</v>
      </c>
      <c r="H16" s="157">
        <v>0.33</v>
      </c>
      <c r="I16" s="314">
        <f>H16</f>
        <v>0.33</v>
      </c>
      <c r="J16" s="157">
        <f>G16+I16</f>
        <v>6.41</v>
      </c>
      <c r="K16" s="144">
        <f>K17+K18</f>
        <v>0.67500000000000004</v>
      </c>
      <c r="L16" s="144">
        <f>L17+L18</f>
        <v>6.6320000000000014</v>
      </c>
      <c r="M16" s="144">
        <f>M17+M18</f>
        <v>7.3070000000000013</v>
      </c>
      <c r="N16" s="315"/>
      <c r="O16" s="115"/>
      <c r="P16" s="116"/>
      <c r="Q16" s="316"/>
      <c r="R16" s="316"/>
      <c r="S16" s="116"/>
      <c r="T16" s="461" t="s">
        <v>199</v>
      </c>
      <c r="U16" s="461" t="s">
        <v>198</v>
      </c>
      <c r="V16" s="461" t="s">
        <v>219</v>
      </c>
      <c r="W16" s="464" t="s">
        <v>220</v>
      </c>
      <c r="X16" s="464" t="s">
        <v>221</v>
      </c>
      <c r="Y16" s="423"/>
      <c r="Z16" s="317"/>
      <c r="AB16" s="49"/>
      <c r="AC16" s="49"/>
      <c r="AD16" s="49"/>
      <c r="AE16" s="49"/>
    </row>
    <row r="17" spans="1:31" s="341" customFormat="1" ht="15" x14ac:dyDescent="0.25">
      <c r="A17" s="313" t="s">
        <v>8</v>
      </c>
      <c r="B17" s="313"/>
      <c r="C17" s="219"/>
      <c r="D17" s="219"/>
      <c r="E17" s="219"/>
      <c r="F17" s="158">
        <v>16</v>
      </c>
      <c r="G17" s="157">
        <v>5.4260000000000002</v>
      </c>
      <c r="H17" s="157"/>
      <c r="I17" s="157"/>
      <c r="J17" s="157"/>
      <c r="K17" s="144">
        <v>0.16500000000000001</v>
      </c>
      <c r="L17" s="144">
        <v>3.4350000000000005</v>
      </c>
      <c r="M17" s="144">
        <v>3.6000000000000005</v>
      </c>
      <c r="N17" s="315">
        <f>J16</f>
        <v>6.41</v>
      </c>
      <c r="O17" s="115">
        <f>N17/F17*100</f>
        <v>40.0625</v>
      </c>
      <c r="P17" s="236">
        <f>IF(G16&gt;F17*1.05,0,(F17*1.05)-G16)</f>
        <v>10.72</v>
      </c>
      <c r="Q17" s="236">
        <f>IF(N17&gt;(F17*1.05),0,(F17*1.05)-N17)</f>
        <v>10.39</v>
      </c>
      <c r="R17" s="116">
        <f>IF(N17&gt;(F17*1.05),0,(F17*1.05)-N17)</f>
        <v>10.39</v>
      </c>
      <c r="S17" s="116">
        <f>R17</f>
        <v>10.39</v>
      </c>
      <c r="T17" s="462"/>
      <c r="U17" s="462"/>
      <c r="V17" s="462"/>
      <c r="W17" s="465"/>
      <c r="X17" s="465"/>
      <c r="Y17" s="467"/>
      <c r="Z17" s="317"/>
      <c r="AB17" s="49"/>
      <c r="AC17" s="49"/>
      <c r="AD17" s="49"/>
      <c r="AE17" s="49"/>
    </row>
    <row r="18" spans="1:31" s="341" customFormat="1" ht="15" x14ac:dyDescent="0.25">
      <c r="A18" s="313" t="s">
        <v>9</v>
      </c>
      <c r="B18" s="313"/>
      <c r="C18" s="219"/>
      <c r="D18" s="219"/>
      <c r="E18" s="219"/>
      <c r="F18" s="158">
        <v>16</v>
      </c>
      <c r="G18" s="157">
        <v>0.65400000000000003</v>
      </c>
      <c r="H18" s="157"/>
      <c r="I18" s="157"/>
      <c r="J18" s="157"/>
      <c r="K18" s="144">
        <v>0.51</v>
      </c>
      <c r="L18" s="144">
        <v>3.1970000000000005</v>
      </c>
      <c r="M18" s="2">
        <v>3.7070000000000007</v>
      </c>
      <c r="N18" s="315"/>
      <c r="O18" s="115"/>
      <c r="P18" s="144"/>
      <c r="Q18" s="159"/>
      <c r="R18" s="159"/>
      <c r="S18" s="144"/>
      <c r="T18" s="463"/>
      <c r="U18" s="463"/>
      <c r="V18" s="463"/>
      <c r="W18" s="466"/>
      <c r="X18" s="466"/>
      <c r="Y18" s="424"/>
      <c r="Z18" s="317"/>
      <c r="AB18" s="49"/>
      <c r="AC18" s="49"/>
      <c r="AD18" s="49"/>
      <c r="AE18" s="49"/>
    </row>
    <row r="19" spans="1:31" ht="14.25" hidden="1" customHeight="1" x14ac:dyDescent="0.25">
      <c r="A19" s="226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5"/>
      <c r="U19" s="225"/>
      <c r="V19" s="225"/>
      <c r="W19" s="225"/>
      <c r="X19" s="225"/>
      <c r="Y19" s="228"/>
      <c r="Z19" s="212"/>
      <c r="AA19" s="212"/>
      <c r="AB19" s="212"/>
      <c r="AC19" s="212"/>
      <c r="AD19" s="212"/>
    </row>
    <row r="20" spans="1:31" ht="15.75" hidden="1" x14ac:dyDescent="0.25">
      <c r="A20" s="353" t="s">
        <v>222</v>
      </c>
      <c r="B20" s="229"/>
      <c r="C20" s="223"/>
      <c r="D20" s="223" t="s">
        <v>47</v>
      </c>
      <c r="E20" s="223"/>
      <c r="F20" s="230">
        <f>F21+F22</f>
        <v>50</v>
      </c>
      <c r="G20" s="249">
        <f>SUM(G21:G22)</f>
        <v>10.210000000000001</v>
      </c>
      <c r="H20" s="231">
        <f>1.5+4.52</f>
        <v>6.02</v>
      </c>
      <c r="I20" s="231">
        <f>H20</f>
        <v>6.02</v>
      </c>
      <c r="J20" s="12">
        <f>G20+(I20)</f>
        <v>16.23</v>
      </c>
      <c r="K20" s="2">
        <f>K21+K22</f>
        <v>1.1000000000000001</v>
      </c>
      <c r="L20" s="2">
        <f>L21+L22</f>
        <v>21.652000000000001</v>
      </c>
      <c r="M20" s="2">
        <f>M21+M22</f>
        <v>21.252000000000002</v>
      </c>
      <c r="N20" s="1"/>
      <c r="O20" s="220"/>
      <c r="P20" s="219"/>
      <c r="Q20" s="350"/>
      <c r="R20" s="350"/>
      <c r="S20" s="372"/>
      <c r="T20" s="458" t="s">
        <v>223</v>
      </c>
      <c r="U20" s="458" t="s">
        <v>198</v>
      </c>
      <c r="V20" s="458" t="s">
        <v>224</v>
      </c>
      <c r="W20" s="458" t="s">
        <v>225</v>
      </c>
      <c r="X20" s="458" t="s">
        <v>226</v>
      </c>
      <c r="Y20" s="458"/>
      <c r="Z20" s="212"/>
      <c r="AA20" s="212"/>
      <c r="AB20" s="212"/>
      <c r="AC20" s="212"/>
      <c r="AD20" s="212"/>
    </row>
    <row r="21" spans="1:31" hidden="1" x14ac:dyDescent="0.25">
      <c r="A21" s="232" t="s">
        <v>10</v>
      </c>
      <c r="B21" s="233"/>
      <c r="C21" s="233"/>
      <c r="D21" s="233"/>
      <c r="E21" s="233"/>
      <c r="F21" s="234">
        <v>25</v>
      </c>
      <c r="G21" s="235">
        <v>6.2510000000000003</v>
      </c>
      <c r="H21" s="231"/>
      <c r="I21" s="231"/>
      <c r="J21" s="12"/>
      <c r="K21" s="2">
        <v>0.55000000000000004</v>
      </c>
      <c r="L21" s="2">
        <f>9.376+1.5</f>
        <v>10.875999999999999</v>
      </c>
      <c r="M21" s="11">
        <v>9.9260000000000019</v>
      </c>
      <c r="N21" s="1">
        <f>J20</f>
        <v>16.23</v>
      </c>
      <c r="O21" s="220">
        <f>N21/F21*100</f>
        <v>64.92</v>
      </c>
      <c r="P21" s="236">
        <f>IF(G20&gt;(F21*1.05),0,(F21*1.05)-G20)</f>
        <v>16.04</v>
      </c>
      <c r="Q21" s="236">
        <f>IF(N21&gt;(F21*1.05),0,(F21*1.05)-N21)</f>
        <v>10.02</v>
      </c>
      <c r="R21" s="236">
        <f>IF(N21&gt;(F21*1.05),0,(F21*1.05)-N21)</f>
        <v>10.02</v>
      </c>
      <c r="S21" s="373"/>
      <c r="T21" s="459"/>
      <c r="U21" s="459"/>
      <c r="V21" s="459"/>
      <c r="W21" s="459"/>
      <c r="X21" s="459"/>
      <c r="Y21" s="459"/>
      <c r="Z21" s="212"/>
      <c r="AA21" s="212"/>
      <c r="AB21" s="212"/>
      <c r="AC21" s="212"/>
      <c r="AD21" s="212"/>
    </row>
    <row r="22" spans="1:31" hidden="1" x14ac:dyDescent="0.25">
      <c r="A22" s="232" t="s">
        <v>7</v>
      </c>
      <c r="B22" s="233"/>
      <c r="C22" s="233"/>
      <c r="D22" s="233"/>
      <c r="E22" s="233"/>
      <c r="F22" s="234">
        <v>25</v>
      </c>
      <c r="G22" s="235">
        <v>3.9590000000000001</v>
      </c>
      <c r="H22" s="231"/>
      <c r="I22" s="231"/>
      <c r="J22" s="12"/>
      <c r="K22" s="2">
        <v>0.54999999999999993</v>
      </c>
      <c r="L22" s="2">
        <v>10.776</v>
      </c>
      <c r="M22" s="2">
        <v>11.326000000000001</v>
      </c>
      <c r="N22" s="1"/>
      <c r="O22" s="220"/>
      <c r="P22" s="237"/>
      <c r="Q22" s="238"/>
      <c r="R22" s="238"/>
      <c r="S22" s="238"/>
      <c r="T22" s="460"/>
      <c r="U22" s="460"/>
      <c r="V22" s="460"/>
      <c r="W22" s="460"/>
      <c r="X22" s="460"/>
      <c r="Y22" s="460"/>
      <c r="Z22" s="212"/>
      <c r="AA22" s="212"/>
      <c r="AB22" s="212"/>
      <c r="AC22" s="212"/>
      <c r="AD22" s="212"/>
    </row>
    <row r="23" spans="1:31" s="49" customFormat="1" ht="15" x14ac:dyDescent="0.25">
      <c r="A23" s="344"/>
      <c r="B23" s="344"/>
      <c r="C23" s="318"/>
      <c r="D23" s="318"/>
      <c r="E23" s="318"/>
      <c r="F23" s="319"/>
      <c r="G23" s="320"/>
      <c r="H23" s="321"/>
      <c r="I23" s="321"/>
      <c r="J23" s="321"/>
      <c r="K23" s="322"/>
      <c r="L23" s="322"/>
      <c r="M23" s="323"/>
      <c r="N23" s="321"/>
      <c r="O23" s="471"/>
      <c r="P23" s="471"/>
      <c r="Q23" s="471"/>
      <c r="R23" s="471"/>
      <c r="S23" s="471"/>
      <c r="T23" s="471"/>
      <c r="U23" s="471"/>
      <c r="V23" s="471"/>
      <c r="W23" s="471"/>
      <c r="X23" s="471"/>
      <c r="Y23" s="383"/>
    </row>
    <row r="24" spans="1:31" s="49" customFormat="1" ht="15.75" customHeight="1" x14ac:dyDescent="0.25">
      <c r="A24" s="353" t="s">
        <v>227</v>
      </c>
      <c r="B24" s="354"/>
      <c r="C24" s="355"/>
      <c r="D24" s="355" t="s">
        <v>42</v>
      </c>
      <c r="E24" s="355"/>
      <c r="F24" s="356">
        <f>F25+F26</f>
        <v>400</v>
      </c>
      <c r="G24" s="357">
        <f>SUM(G25:G26)</f>
        <v>104.607</v>
      </c>
      <c r="H24" s="358">
        <v>2.68</v>
      </c>
      <c r="I24" s="358">
        <f>H24+1.9</f>
        <v>4.58</v>
      </c>
      <c r="J24" s="359">
        <f>G24+(I24)</f>
        <v>109.187</v>
      </c>
      <c r="K24" s="236">
        <f>K25+K26</f>
        <v>1.18</v>
      </c>
      <c r="L24" s="236">
        <f>L25+L26</f>
        <v>71.897999999999996</v>
      </c>
      <c r="M24" s="236">
        <f>M25+M26</f>
        <v>73.078000000000003</v>
      </c>
      <c r="N24" s="359"/>
      <c r="O24" s="220"/>
      <c r="P24" s="219"/>
      <c r="Q24" s="350"/>
      <c r="R24" s="350"/>
      <c r="S24" s="219"/>
      <c r="T24" s="461" t="s">
        <v>199</v>
      </c>
      <c r="U24" s="458" t="s">
        <v>200</v>
      </c>
      <c r="V24" s="458"/>
      <c r="W24" s="458" t="s">
        <v>228</v>
      </c>
      <c r="X24" s="458" t="s">
        <v>229</v>
      </c>
      <c r="Y24" s="458"/>
    </row>
    <row r="25" spans="1:31" s="49" customFormat="1" ht="15" x14ac:dyDescent="0.25">
      <c r="A25" s="353" t="s">
        <v>10</v>
      </c>
      <c r="B25" s="355"/>
      <c r="C25" s="355"/>
      <c r="D25" s="355"/>
      <c r="E25" s="355"/>
      <c r="F25" s="360">
        <v>200</v>
      </c>
      <c r="G25" s="361">
        <v>52.506999999999998</v>
      </c>
      <c r="H25" s="358"/>
      <c r="I25" s="358"/>
      <c r="J25" s="359"/>
      <c r="K25" s="236">
        <v>1.18</v>
      </c>
      <c r="L25" s="236">
        <f>70.698+1.2</f>
        <v>71.897999999999996</v>
      </c>
      <c r="M25" s="236">
        <f>K25+L25</f>
        <v>73.078000000000003</v>
      </c>
      <c r="N25" s="359">
        <f>J24</f>
        <v>109.187</v>
      </c>
      <c r="O25" s="220">
        <f>N25/F25*100</f>
        <v>54.593499999999992</v>
      </c>
      <c r="P25" s="236">
        <f>IF(G24&gt;(F25*1.05),0,(F25*1.05)-G24)</f>
        <v>105.393</v>
      </c>
      <c r="Q25" s="236">
        <f>IF(N25&gt;(F25*1.05),0,(F25*1.05)-N25)</f>
        <v>100.813</v>
      </c>
      <c r="R25" s="236">
        <f>IF(N25&gt;(F25*1.05),0,(F25*1.05)-N25)</f>
        <v>100.813</v>
      </c>
      <c r="S25" s="236">
        <f>R25</f>
        <v>100.813</v>
      </c>
      <c r="T25" s="462"/>
      <c r="U25" s="459"/>
      <c r="V25" s="459"/>
      <c r="W25" s="459"/>
      <c r="X25" s="459"/>
      <c r="Y25" s="459"/>
    </row>
    <row r="26" spans="1:31" s="49" customFormat="1" ht="15" x14ac:dyDescent="0.25">
      <c r="A26" s="353" t="s">
        <v>7</v>
      </c>
      <c r="B26" s="355"/>
      <c r="C26" s="355"/>
      <c r="D26" s="355"/>
      <c r="E26" s="355"/>
      <c r="F26" s="360">
        <v>200</v>
      </c>
      <c r="G26" s="361">
        <v>52.1</v>
      </c>
      <c r="H26" s="358"/>
      <c r="I26" s="358"/>
      <c r="J26" s="359"/>
      <c r="K26" s="236"/>
      <c r="L26" s="236"/>
      <c r="M26" s="236">
        <f>K26+L26</f>
        <v>0</v>
      </c>
      <c r="N26" s="359"/>
      <c r="O26" s="220"/>
      <c r="P26" s="237"/>
      <c r="Q26" s="238"/>
      <c r="R26" s="238"/>
      <c r="S26" s="237"/>
      <c r="T26" s="463"/>
      <c r="U26" s="460"/>
      <c r="V26" s="460"/>
      <c r="W26" s="460"/>
      <c r="X26" s="460"/>
      <c r="Y26" s="460"/>
    </row>
    <row r="27" spans="1:31" x14ac:dyDescent="0.25">
      <c r="A27" s="305" t="s">
        <v>230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239"/>
      <c r="U27" s="239"/>
      <c r="V27" s="239"/>
      <c r="W27" s="239"/>
      <c r="X27" s="239"/>
      <c r="Y27" s="307"/>
      <c r="Z27" s="212"/>
      <c r="AA27" s="212"/>
      <c r="AB27" s="212"/>
      <c r="AC27" s="212"/>
      <c r="AD27" s="212"/>
    </row>
    <row r="28" spans="1:31" hidden="1" x14ac:dyDescent="0.25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5"/>
      <c r="U28" s="225"/>
      <c r="V28" s="225"/>
      <c r="W28" s="225"/>
      <c r="X28" s="225"/>
      <c r="Y28" s="228"/>
      <c r="Z28" s="212"/>
      <c r="AA28" s="212"/>
      <c r="AB28" s="212"/>
      <c r="AC28" s="212"/>
      <c r="AD28" s="212"/>
    </row>
    <row r="29" spans="1:31" ht="15.75" hidden="1" customHeight="1" x14ac:dyDescent="0.25">
      <c r="A29" s="353" t="s">
        <v>231</v>
      </c>
      <c r="B29" s="229"/>
      <c r="C29" s="223"/>
      <c r="D29" s="223" t="s">
        <v>49</v>
      </c>
      <c r="E29" s="223"/>
      <c r="F29" s="230">
        <f>F30+F31</f>
        <v>40</v>
      </c>
      <c r="G29" s="249">
        <f>SUM(G30:G31)</f>
        <v>7.0629999999999997</v>
      </c>
      <c r="H29" s="231">
        <v>0</v>
      </c>
      <c r="I29" s="231">
        <f>H29</f>
        <v>0</v>
      </c>
      <c r="J29" s="12">
        <f>G29+(I29)</f>
        <v>7.0629999999999997</v>
      </c>
      <c r="K29" s="2">
        <f>K30+K31</f>
        <v>0</v>
      </c>
      <c r="L29" s="2">
        <f>L30+L31</f>
        <v>22.509</v>
      </c>
      <c r="M29" s="2">
        <f>M30+M31</f>
        <v>22.509</v>
      </c>
      <c r="N29" s="1"/>
      <c r="O29" s="220"/>
      <c r="P29" s="219"/>
      <c r="Q29" s="350"/>
      <c r="R29" s="350"/>
      <c r="S29" s="372"/>
      <c r="T29" s="458" t="s">
        <v>232</v>
      </c>
      <c r="U29" s="458" t="s">
        <v>233</v>
      </c>
      <c r="V29" s="458"/>
      <c r="W29" s="458" t="s">
        <v>234</v>
      </c>
      <c r="X29" s="458" t="s">
        <v>235</v>
      </c>
      <c r="Y29" s="458"/>
      <c r="Z29" s="212"/>
      <c r="AA29" s="212"/>
      <c r="AB29" s="212"/>
      <c r="AC29" s="212"/>
      <c r="AD29" s="212"/>
    </row>
    <row r="30" spans="1:31" hidden="1" x14ac:dyDescent="0.25">
      <c r="A30" s="232" t="s">
        <v>10</v>
      </c>
      <c r="B30" s="233"/>
      <c r="C30" s="233"/>
      <c r="D30" s="233"/>
      <c r="E30" s="233"/>
      <c r="F30" s="234">
        <v>20</v>
      </c>
      <c r="G30" s="235">
        <v>3.6579999999999999</v>
      </c>
      <c r="H30" s="231"/>
      <c r="I30" s="231"/>
      <c r="J30" s="12"/>
      <c r="K30" s="2">
        <v>0</v>
      </c>
      <c r="L30" s="2">
        <v>11.255000000000001</v>
      </c>
      <c r="M30" s="2">
        <v>11.255000000000001</v>
      </c>
      <c r="N30" s="1">
        <f>J29</f>
        <v>7.0629999999999997</v>
      </c>
      <c r="O30" s="220">
        <f>N30/F30*100</f>
        <v>35.314999999999998</v>
      </c>
      <c r="P30" s="236">
        <f>IF(G29&gt;(F30*1.05),0,(F30*1.05)-G29)</f>
        <v>13.937000000000001</v>
      </c>
      <c r="Q30" s="236">
        <f>IF(N30&gt;(F30*1.05),0,(F30*1.05)-N30)</f>
        <v>13.937000000000001</v>
      </c>
      <c r="R30" s="236">
        <f>IF(N30&gt;(F30*1.05),0,(F30*1.05)-N30)</f>
        <v>13.937000000000001</v>
      </c>
      <c r="S30" s="373"/>
      <c r="T30" s="459"/>
      <c r="U30" s="459"/>
      <c r="V30" s="459"/>
      <c r="W30" s="459"/>
      <c r="X30" s="459"/>
      <c r="Y30" s="459"/>
      <c r="Z30" s="212"/>
      <c r="AA30" s="212"/>
      <c r="AB30" s="212"/>
      <c r="AC30" s="212"/>
      <c r="AD30" s="212"/>
    </row>
    <row r="31" spans="1:31" hidden="1" x14ac:dyDescent="0.25">
      <c r="A31" s="232" t="s">
        <v>7</v>
      </c>
      <c r="B31" s="233"/>
      <c r="C31" s="233"/>
      <c r="D31" s="233"/>
      <c r="E31" s="233"/>
      <c r="F31" s="234">
        <v>20</v>
      </c>
      <c r="G31" s="235">
        <v>3.4049999999999998</v>
      </c>
      <c r="H31" s="231"/>
      <c r="I31" s="231"/>
      <c r="J31" s="12"/>
      <c r="K31" s="2">
        <v>0</v>
      </c>
      <c r="L31" s="2">
        <v>11.254</v>
      </c>
      <c r="M31" s="2">
        <v>11.254</v>
      </c>
      <c r="N31" s="1"/>
      <c r="O31" s="220"/>
      <c r="P31" s="237"/>
      <c r="Q31" s="238"/>
      <c r="R31" s="238"/>
      <c r="S31" s="238"/>
      <c r="T31" s="460"/>
      <c r="U31" s="460"/>
      <c r="V31" s="460"/>
      <c r="W31" s="460"/>
      <c r="X31" s="460"/>
      <c r="Y31" s="460"/>
      <c r="Z31" s="212"/>
      <c r="AA31" s="212"/>
      <c r="AB31" s="212"/>
      <c r="AC31" s="212"/>
      <c r="AD31" s="212"/>
    </row>
    <row r="32" spans="1:31" s="367" customFormat="1" x14ac:dyDescent="0.25">
      <c r="A32" s="362"/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63"/>
      <c r="R32" s="363"/>
      <c r="S32" s="363"/>
      <c r="T32" s="364"/>
      <c r="U32" s="364"/>
      <c r="V32" s="364"/>
      <c r="W32" s="364"/>
      <c r="X32" s="364"/>
      <c r="Y32" s="365"/>
      <c r="Z32" s="366"/>
      <c r="AA32" s="366"/>
      <c r="AB32" s="366"/>
      <c r="AC32" s="366"/>
      <c r="AD32" s="366"/>
    </row>
    <row r="33" spans="1:30" ht="15.75" x14ac:dyDescent="0.25">
      <c r="A33" s="353" t="s">
        <v>236</v>
      </c>
      <c r="B33" s="229"/>
      <c r="C33" s="223"/>
      <c r="D33" s="223" t="s">
        <v>98</v>
      </c>
      <c r="E33" s="223"/>
      <c r="F33" s="230">
        <f>F34+F35</f>
        <v>65</v>
      </c>
      <c r="G33" s="249">
        <f>SUM(G34:G35)</f>
        <v>40.738</v>
      </c>
      <c r="H33" s="231">
        <f>0.542+0.04+0.3+0.33</f>
        <v>1.2120000000000002</v>
      </c>
      <c r="I33" s="231">
        <f>H33</f>
        <v>1.2120000000000002</v>
      </c>
      <c r="J33" s="196">
        <f>G33+(I33)</f>
        <v>41.95</v>
      </c>
      <c r="K33" s="2">
        <v>1.33</v>
      </c>
      <c r="L33" s="2">
        <f>L34+L35</f>
        <v>17.409999999999997</v>
      </c>
      <c r="M33" s="2">
        <f>M34+M35</f>
        <v>23.985999999999997</v>
      </c>
      <c r="N33" s="1"/>
      <c r="O33" s="220"/>
      <c r="P33" s="219"/>
      <c r="Q33" s="350"/>
      <c r="R33" s="350"/>
      <c r="S33" s="219"/>
      <c r="T33" s="458" t="s">
        <v>232</v>
      </c>
      <c r="U33" s="458" t="s">
        <v>237</v>
      </c>
      <c r="V33" s="458"/>
      <c r="W33" s="458"/>
      <c r="X33" s="458"/>
      <c r="Y33" s="458"/>
      <c r="Z33" s="212"/>
      <c r="AA33" s="212"/>
      <c r="AB33" s="212"/>
      <c r="AC33" s="212"/>
      <c r="AD33" s="212"/>
    </row>
    <row r="34" spans="1:30" x14ac:dyDescent="0.25">
      <c r="A34" s="232" t="s">
        <v>10</v>
      </c>
      <c r="B34" s="233"/>
      <c r="C34" s="233"/>
      <c r="D34" s="233"/>
      <c r="E34" s="233"/>
      <c r="F34" s="234">
        <v>40</v>
      </c>
      <c r="G34" s="235">
        <v>19.952999999999999</v>
      </c>
      <c r="H34" s="231"/>
      <c r="I34" s="231"/>
      <c r="J34" s="12"/>
      <c r="K34" s="2">
        <v>0</v>
      </c>
      <c r="L34" s="2">
        <v>0</v>
      </c>
      <c r="M34" s="11">
        <v>4.17</v>
      </c>
      <c r="N34" s="1">
        <f>J33</f>
        <v>41.95</v>
      </c>
      <c r="O34" s="220">
        <f>N34/F34*100</f>
        <v>104.875</v>
      </c>
      <c r="P34" s="236">
        <f>IF(G33&gt;(F34*1.05),0,(F34*1.05)-G33)</f>
        <v>1.2620000000000005</v>
      </c>
      <c r="Q34" s="236">
        <f>IF(N34&gt;(F34*1.05),0,(F34*1.05)-N34)</f>
        <v>4.9999999999997158E-2</v>
      </c>
      <c r="R34" s="236">
        <f>IF(N34&gt;(F34*1.05),0,(F34*1.05)-N34)</f>
        <v>4.9999999999997158E-2</v>
      </c>
      <c r="S34" s="236">
        <f>R34</f>
        <v>4.9999999999997158E-2</v>
      </c>
      <c r="T34" s="459"/>
      <c r="U34" s="459"/>
      <c r="V34" s="459"/>
      <c r="W34" s="459"/>
      <c r="X34" s="459"/>
      <c r="Y34" s="459"/>
      <c r="Z34" s="212"/>
      <c r="AA34" s="212"/>
      <c r="AB34" s="212"/>
      <c r="AC34" s="212"/>
      <c r="AD34" s="212"/>
    </row>
    <row r="35" spans="1:30" x14ac:dyDescent="0.25">
      <c r="A35" s="232" t="s">
        <v>7</v>
      </c>
      <c r="B35" s="233"/>
      <c r="C35" s="233"/>
      <c r="D35" s="233"/>
      <c r="E35" s="233"/>
      <c r="F35" s="234">
        <v>25</v>
      </c>
      <c r="G35" s="235">
        <v>20.785</v>
      </c>
      <c r="H35" s="231">
        <v>0.54200000000000004</v>
      </c>
      <c r="I35" s="231"/>
      <c r="J35" s="1"/>
      <c r="K35" s="2">
        <f>1.333+0.015+0.03+0.25+0.015+0.07+0.03+0.05+0.025+0.213+0.015+0.095+0.265</f>
        <v>2.4060000000000001</v>
      </c>
      <c r="L35" s="2">
        <f>0.33+17.08</f>
        <v>17.409999999999997</v>
      </c>
      <c r="M35" s="2">
        <f>L35+K35</f>
        <v>19.815999999999995</v>
      </c>
      <c r="N35" s="1"/>
      <c r="O35" s="220"/>
      <c r="P35" s="237"/>
      <c r="Q35" s="238"/>
      <c r="R35" s="238"/>
      <c r="S35" s="237"/>
      <c r="T35" s="460"/>
      <c r="U35" s="460"/>
      <c r="V35" s="460"/>
      <c r="W35" s="460"/>
      <c r="X35" s="460"/>
      <c r="Y35" s="460"/>
      <c r="Z35" s="212"/>
      <c r="AA35" s="212"/>
      <c r="AB35" s="212"/>
      <c r="AC35" s="212"/>
      <c r="AD35" s="212"/>
    </row>
    <row r="36" spans="1:30" x14ac:dyDescent="0.25">
      <c r="A36" s="305" t="s">
        <v>238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239"/>
      <c r="U36" s="239"/>
      <c r="V36" s="239"/>
      <c r="W36" s="239"/>
      <c r="X36" s="239"/>
      <c r="Y36" s="307"/>
      <c r="Z36" s="212"/>
      <c r="AA36" s="212"/>
      <c r="AB36" s="212"/>
      <c r="AC36" s="212"/>
      <c r="AD36" s="212"/>
    </row>
    <row r="37" spans="1:30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5"/>
      <c r="U37" s="225"/>
      <c r="V37" s="225"/>
      <c r="W37" s="225"/>
      <c r="X37" s="225"/>
      <c r="Y37" s="228"/>
      <c r="Z37" s="212"/>
      <c r="AA37" s="212"/>
      <c r="AB37" s="212"/>
      <c r="AC37" s="212"/>
      <c r="AD37" s="212"/>
    </row>
    <row r="38" spans="1:30" ht="15.75" customHeight="1" x14ac:dyDescent="0.25">
      <c r="A38" s="353" t="s">
        <v>239</v>
      </c>
      <c r="B38" s="229"/>
      <c r="C38" s="223"/>
      <c r="D38" s="223"/>
      <c r="E38" s="223" t="s">
        <v>240</v>
      </c>
      <c r="F38" s="230">
        <f>F39+F40</f>
        <v>3.2</v>
      </c>
      <c r="G38" s="249">
        <f>SUM(G39:G40)</f>
        <v>0.70599999999999996</v>
      </c>
      <c r="H38" s="231">
        <v>0</v>
      </c>
      <c r="I38" s="231">
        <f>H38</f>
        <v>0</v>
      </c>
      <c r="J38" s="12">
        <f>G38+(I38)</f>
        <v>0.70599999999999996</v>
      </c>
      <c r="K38" s="2">
        <f>K39+K40</f>
        <v>0.5</v>
      </c>
      <c r="L38" s="2">
        <f>L39+L40</f>
        <v>1.4</v>
      </c>
      <c r="M38" s="2">
        <f>M39+M40</f>
        <v>1.9</v>
      </c>
      <c r="N38" s="1"/>
      <c r="O38" s="220"/>
      <c r="P38" s="219"/>
      <c r="Q38" s="350"/>
      <c r="R38" s="350"/>
      <c r="S38" s="219"/>
      <c r="T38" s="458" t="s">
        <v>232</v>
      </c>
      <c r="U38" s="458"/>
      <c r="V38" s="458"/>
      <c r="W38" s="458"/>
      <c r="X38" s="458"/>
      <c r="Y38" s="481" t="s">
        <v>246</v>
      </c>
      <c r="Z38" s="212"/>
      <c r="AA38" s="212"/>
      <c r="AB38" s="212"/>
      <c r="AC38" s="212"/>
      <c r="AD38" s="212"/>
    </row>
    <row r="39" spans="1:30" x14ac:dyDescent="0.25">
      <c r="A39" s="232" t="s">
        <v>10</v>
      </c>
      <c r="B39" s="233"/>
      <c r="C39" s="233"/>
      <c r="D39" s="233"/>
      <c r="E39" s="233"/>
      <c r="F39" s="234">
        <v>1.6</v>
      </c>
      <c r="G39" s="235">
        <v>0.20599999999999999</v>
      </c>
      <c r="H39" s="231"/>
      <c r="I39" s="231"/>
      <c r="J39" s="12"/>
      <c r="K39" s="2">
        <v>0</v>
      </c>
      <c r="L39" s="2">
        <v>1.4</v>
      </c>
      <c r="M39" s="2">
        <f>L39+K39</f>
        <v>1.4</v>
      </c>
      <c r="N39" s="1">
        <f>J38</f>
        <v>0.70599999999999996</v>
      </c>
      <c r="O39" s="220">
        <f>N39/F39*100</f>
        <v>44.125</v>
      </c>
      <c r="P39" s="236">
        <f>IF(G38&gt;(F39*1.05),0,(F39*1.05)-G38)</f>
        <v>0.9740000000000002</v>
      </c>
      <c r="Q39" s="236">
        <f>IF(N39&gt;(F39*1.05),0,(F39*1.05)-N39)</f>
        <v>0.9740000000000002</v>
      </c>
      <c r="R39" s="236">
        <f>IF(N39&gt;(F39*1.05),0,(F39*1.05)-N39)</f>
        <v>0.9740000000000002</v>
      </c>
      <c r="S39" s="375">
        <f>S34</f>
        <v>4.9999999999997158E-2</v>
      </c>
      <c r="T39" s="459"/>
      <c r="U39" s="459"/>
      <c r="V39" s="459"/>
      <c r="W39" s="459"/>
      <c r="X39" s="459"/>
      <c r="Y39" s="482"/>
      <c r="Z39" s="212"/>
      <c r="AA39" s="212"/>
      <c r="AB39" s="212"/>
      <c r="AC39" s="212"/>
      <c r="AD39" s="212"/>
    </row>
    <row r="40" spans="1:30" x14ac:dyDescent="0.25">
      <c r="A40" s="232" t="s">
        <v>7</v>
      </c>
      <c r="B40" s="233"/>
      <c r="C40" s="233"/>
      <c r="D40" s="233"/>
      <c r="E40" s="233"/>
      <c r="F40" s="234">
        <v>1.6</v>
      </c>
      <c r="G40" s="235">
        <v>0.5</v>
      </c>
      <c r="H40" s="231"/>
      <c r="I40" s="231"/>
      <c r="J40" s="12"/>
      <c r="K40" s="2">
        <v>0.5</v>
      </c>
      <c r="L40" s="2">
        <v>0</v>
      </c>
      <c r="M40" s="2">
        <f>L40+K40</f>
        <v>0.5</v>
      </c>
      <c r="N40" s="1"/>
      <c r="O40" s="220"/>
      <c r="P40" s="237"/>
      <c r="Q40" s="238"/>
      <c r="R40" s="238"/>
      <c r="S40" s="237"/>
      <c r="T40" s="460"/>
      <c r="U40" s="460"/>
      <c r="V40" s="460"/>
      <c r="W40" s="460"/>
      <c r="X40" s="460"/>
      <c r="Y40" s="483"/>
      <c r="Z40" s="212"/>
      <c r="AA40" s="212"/>
      <c r="AB40" s="212"/>
      <c r="AC40" s="212"/>
      <c r="AD40" s="212"/>
    </row>
    <row r="41" spans="1:30" s="367" customFormat="1" hidden="1" x14ac:dyDescent="0.25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4"/>
      <c r="U41" s="364"/>
      <c r="V41" s="364"/>
      <c r="W41" s="364"/>
      <c r="X41" s="364"/>
      <c r="Y41" s="365"/>
      <c r="Z41" s="366"/>
      <c r="AA41" s="366"/>
      <c r="AB41" s="366"/>
      <c r="AC41" s="366"/>
      <c r="AD41" s="366"/>
    </row>
    <row r="42" spans="1:30" ht="15.75" hidden="1" x14ac:dyDescent="0.25">
      <c r="A42" s="353" t="s">
        <v>241</v>
      </c>
      <c r="B42" s="229"/>
      <c r="C42" s="223"/>
      <c r="D42" s="223" t="s">
        <v>49</v>
      </c>
      <c r="E42" s="223"/>
      <c r="F42" s="230">
        <f>F43+F44</f>
        <v>50</v>
      </c>
      <c r="G42" s="249">
        <f>SUM(G43:G44)</f>
        <v>0.60299999999999998</v>
      </c>
      <c r="H42" s="231">
        <f>11.981+12</f>
        <v>23.981000000000002</v>
      </c>
      <c r="I42" s="231">
        <f>H42</f>
        <v>23.981000000000002</v>
      </c>
      <c r="J42" s="196">
        <f>G42+(I42)</f>
        <v>24.584000000000003</v>
      </c>
      <c r="K42" s="2">
        <f>SUM(K43:K44)</f>
        <v>3.69</v>
      </c>
      <c r="L42" s="2">
        <f>L43+L44</f>
        <v>12.56</v>
      </c>
      <c r="M42" s="2">
        <f>M43+M44</f>
        <v>16.25</v>
      </c>
      <c r="N42" s="1"/>
      <c r="O42" s="220"/>
      <c r="P42" s="219"/>
      <c r="Q42" s="350"/>
      <c r="R42" s="350"/>
      <c r="S42" s="372"/>
      <c r="T42" s="458" t="s">
        <v>199</v>
      </c>
      <c r="U42" s="458"/>
      <c r="V42" s="458"/>
      <c r="W42" s="458"/>
      <c r="X42" s="458"/>
      <c r="Y42" s="458"/>
      <c r="Z42" s="212"/>
      <c r="AA42" s="212"/>
      <c r="AB42" s="212"/>
      <c r="AC42" s="212"/>
      <c r="AD42" s="212"/>
    </row>
    <row r="43" spans="1:30" hidden="1" x14ac:dyDescent="0.25">
      <c r="A43" s="232" t="s">
        <v>10</v>
      </c>
      <c r="B43" s="233"/>
      <c r="C43" s="233"/>
      <c r="D43" s="233"/>
      <c r="E43" s="233"/>
      <c r="F43" s="234">
        <v>25</v>
      </c>
      <c r="G43" s="235">
        <v>0.48</v>
      </c>
      <c r="H43" s="231"/>
      <c r="I43" s="231"/>
      <c r="J43" s="12"/>
      <c r="K43" s="2">
        <f>1.962+0.114+0.008+0.194+0.045+0.035+0.025+0.015+0.12+0.345+0.11+0.077+0.01+0.015+0.065+0.126+0.424</f>
        <v>3.69</v>
      </c>
      <c r="L43" s="2">
        <v>12.56</v>
      </c>
      <c r="M43" s="2">
        <f>K43+L43</f>
        <v>16.25</v>
      </c>
      <c r="N43" s="1">
        <f>J42</f>
        <v>24.584000000000003</v>
      </c>
      <c r="O43" s="220">
        <f>N43/F43*100</f>
        <v>98.336000000000013</v>
      </c>
      <c r="P43" s="236">
        <f>IF(G42&gt;(F43*1.05),0,(F43*1.05)-G42)</f>
        <v>25.646999999999998</v>
      </c>
      <c r="Q43" s="236">
        <f>IF(N43&gt;(F43*1.05),0,(F43*1.05)-N43)</f>
        <v>1.6659999999999968</v>
      </c>
      <c r="R43" s="236">
        <f>IF(N43&gt;(F43*1.05),0,(F43*1.05)-N43)</f>
        <v>1.6659999999999968</v>
      </c>
      <c r="S43" s="373"/>
      <c r="T43" s="459"/>
      <c r="U43" s="459"/>
      <c r="V43" s="459"/>
      <c r="W43" s="459"/>
      <c r="X43" s="459"/>
      <c r="Y43" s="459"/>
      <c r="Z43" s="212"/>
      <c r="AA43" s="212"/>
      <c r="AB43" s="212"/>
      <c r="AC43" s="212"/>
      <c r="AD43" s="212"/>
    </row>
    <row r="44" spans="1:30" hidden="1" x14ac:dyDescent="0.25">
      <c r="A44" s="232" t="s">
        <v>7</v>
      </c>
      <c r="B44" s="233"/>
      <c r="C44" s="233"/>
      <c r="D44" s="233"/>
      <c r="E44" s="233"/>
      <c r="F44" s="234">
        <v>25</v>
      </c>
      <c r="G44" s="235">
        <v>0.123</v>
      </c>
      <c r="H44" s="231"/>
      <c r="I44" s="231"/>
      <c r="J44" s="1"/>
      <c r="K44" s="2">
        <v>0</v>
      </c>
      <c r="L44" s="2">
        <v>0</v>
      </c>
      <c r="M44" s="2">
        <f>L44+K44</f>
        <v>0</v>
      </c>
      <c r="N44" s="1"/>
      <c r="O44" s="220"/>
      <c r="P44" s="237"/>
      <c r="Q44" s="238"/>
      <c r="R44" s="238"/>
      <c r="S44" s="238"/>
      <c r="T44" s="460"/>
      <c r="U44" s="460"/>
      <c r="V44" s="460"/>
      <c r="W44" s="460"/>
      <c r="X44" s="460"/>
      <c r="Y44" s="460"/>
      <c r="Z44" s="212"/>
      <c r="AA44" s="212"/>
      <c r="AB44" s="212"/>
      <c r="AC44" s="212"/>
      <c r="AD44" s="212"/>
    </row>
    <row r="45" spans="1:30" s="367" customFormat="1" hidden="1" x14ac:dyDescent="0.25">
      <c r="A45" s="362"/>
      <c r="B45" s="363"/>
      <c r="C45" s="363"/>
      <c r="D45" s="363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4"/>
      <c r="U45" s="364"/>
      <c r="V45" s="364"/>
      <c r="W45" s="364"/>
      <c r="X45" s="364"/>
      <c r="Y45" s="365"/>
      <c r="Z45" s="366"/>
      <c r="AA45" s="366"/>
      <c r="AB45" s="366"/>
      <c r="AC45" s="366"/>
      <c r="AD45" s="366"/>
    </row>
    <row r="46" spans="1:30" ht="15.75" hidden="1" x14ac:dyDescent="0.25">
      <c r="A46" s="353" t="s">
        <v>242</v>
      </c>
      <c r="B46" s="229"/>
      <c r="C46" s="223"/>
      <c r="D46" s="223"/>
      <c r="E46" s="223" t="s">
        <v>60</v>
      </c>
      <c r="F46" s="230">
        <f>F47+F48</f>
        <v>32</v>
      </c>
      <c r="G46" s="249">
        <f>SUM(G47:G48)</f>
        <v>13.59</v>
      </c>
      <c r="H46" s="231">
        <v>0</v>
      </c>
      <c r="I46" s="231">
        <f>H46</f>
        <v>0</v>
      </c>
      <c r="J46" s="196">
        <f>G46+(I46)</f>
        <v>13.59</v>
      </c>
      <c r="K46" s="2">
        <v>1.962</v>
      </c>
      <c r="L46" s="2">
        <f>L47+L48</f>
        <v>14</v>
      </c>
      <c r="M46" s="2">
        <f>M47+M48</f>
        <v>14</v>
      </c>
      <c r="N46" s="1"/>
      <c r="O46" s="220"/>
      <c r="P46" s="219"/>
      <c r="Q46" s="350"/>
      <c r="R46" s="350"/>
      <c r="S46" s="372"/>
      <c r="T46" s="458" t="s">
        <v>199</v>
      </c>
      <c r="U46" s="458"/>
      <c r="V46" s="458"/>
      <c r="W46" s="458"/>
      <c r="X46" s="458"/>
      <c r="Y46" s="458"/>
      <c r="Z46" s="212"/>
      <c r="AA46" s="212"/>
      <c r="AB46" s="212"/>
      <c r="AC46" s="212"/>
      <c r="AD46" s="212"/>
    </row>
    <row r="47" spans="1:30" hidden="1" x14ac:dyDescent="0.25">
      <c r="A47" s="232" t="s">
        <v>10</v>
      </c>
      <c r="B47" s="233"/>
      <c r="C47" s="233"/>
      <c r="D47" s="233"/>
      <c r="E47" s="233"/>
      <c r="F47" s="234">
        <v>16</v>
      </c>
      <c r="G47" s="235">
        <v>11.467000000000001</v>
      </c>
      <c r="H47" s="231"/>
      <c r="I47" s="231"/>
      <c r="J47" s="12"/>
      <c r="K47" s="2">
        <v>0</v>
      </c>
      <c r="L47" s="2">
        <v>14</v>
      </c>
      <c r="M47" s="2">
        <f>K47+L47</f>
        <v>14</v>
      </c>
      <c r="N47" s="1">
        <f>J46</f>
        <v>13.59</v>
      </c>
      <c r="O47" s="220">
        <f>N47/F47*100</f>
        <v>84.9375</v>
      </c>
      <c r="P47" s="236">
        <f>IF(G46&gt;(F47*1.05),0,(F47*1.05)-G46)</f>
        <v>3.2100000000000009</v>
      </c>
      <c r="Q47" s="236">
        <f>IF(N47&gt;(F47*1.05),0,(F47*1.05)-N47)</f>
        <v>3.2100000000000009</v>
      </c>
      <c r="R47" s="236">
        <f>IF(N47&gt;(F47*1.05),0,(F47*1.05)-N47)</f>
        <v>3.2100000000000009</v>
      </c>
      <c r="S47" s="373"/>
      <c r="T47" s="459"/>
      <c r="U47" s="459"/>
      <c r="V47" s="459"/>
      <c r="W47" s="459"/>
      <c r="X47" s="459"/>
      <c r="Y47" s="459"/>
      <c r="Z47" s="212"/>
      <c r="AA47" s="212"/>
      <c r="AB47" s="212"/>
      <c r="AC47" s="212"/>
      <c r="AD47" s="212"/>
    </row>
    <row r="48" spans="1:30" hidden="1" x14ac:dyDescent="0.25">
      <c r="A48" s="232" t="s">
        <v>7</v>
      </c>
      <c r="B48" s="233"/>
      <c r="C48" s="233"/>
      <c r="D48" s="233"/>
      <c r="E48" s="233"/>
      <c r="F48" s="234">
        <v>16</v>
      </c>
      <c r="G48" s="235">
        <v>2.1230000000000002</v>
      </c>
      <c r="H48" s="231"/>
      <c r="I48" s="231"/>
      <c r="J48" s="1"/>
      <c r="K48" s="2">
        <v>0</v>
      </c>
      <c r="L48" s="2">
        <v>0</v>
      </c>
      <c r="M48" s="2">
        <f>L48+K48</f>
        <v>0</v>
      </c>
      <c r="N48" s="1"/>
      <c r="O48" s="220"/>
      <c r="P48" s="237"/>
      <c r="Q48" s="238"/>
      <c r="R48" s="238"/>
      <c r="S48" s="238"/>
      <c r="T48" s="460"/>
      <c r="U48" s="460"/>
      <c r="V48" s="460"/>
      <c r="W48" s="460"/>
      <c r="X48" s="460"/>
      <c r="Y48" s="460"/>
      <c r="Z48" s="212"/>
      <c r="AA48" s="212"/>
      <c r="AB48" s="212"/>
      <c r="AC48" s="212"/>
      <c r="AD48" s="212"/>
    </row>
    <row r="49" spans="1:25" s="323" customFormat="1" ht="14.25" hidden="1" customHeight="1" x14ac:dyDescent="0.25">
      <c r="A49" s="344"/>
      <c r="B49" s="344"/>
      <c r="C49" s="318"/>
      <c r="D49" s="318"/>
      <c r="E49" s="318"/>
      <c r="F49" s="319"/>
      <c r="G49" s="320"/>
      <c r="H49" s="321"/>
      <c r="I49" s="321"/>
      <c r="J49" s="321"/>
      <c r="K49" s="322"/>
      <c r="L49" s="322"/>
      <c r="M49" s="322"/>
      <c r="N49" s="321"/>
      <c r="O49" s="471"/>
      <c r="P49" s="471"/>
      <c r="Q49" s="471"/>
      <c r="R49" s="471"/>
      <c r="S49" s="471"/>
      <c r="T49" s="471"/>
      <c r="U49" s="471"/>
      <c r="V49" s="471"/>
      <c r="W49" s="471"/>
      <c r="X49" s="471"/>
      <c r="Y49" s="324"/>
    </row>
    <row r="51" spans="1:2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</sheetData>
  <mergeCells count="68">
    <mergeCell ref="T33:T35"/>
    <mergeCell ref="T46:T48"/>
    <mergeCell ref="Y20:Y22"/>
    <mergeCell ref="T12:T14"/>
    <mergeCell ref="T42:T44"/>
    <mergeCell ref="T20:T22"/>
    <mergeCell ref="U20:U22"/>
    <mergeCell ref="V20:V22"/>
    <mergeCell ref="W20:W22"/>
    <mergeCell ref="X20:X22"/>
    <mergeCell ref="W46:W48"/>
    <mergeCell ref="X46:X48"/>
    <mergeCell ref="U42:U44"/>
    <mergeCell ref="V42:V44"/>
    <mergeCell ref="W42:W44"/>
    <mergeCell ref="X42:X44"/>
    <mergeCell ref="O49:X49"/>
    <mergeCell ref="W33:W35"/>
    <mergeCell ref="X33:X35"/>
    <mergeCell ref="Y33:Y35"/>
    <mergeCell ref="T38:T40"/>
    <mergeCell ref="U38:U40"/>
    <mergeCell ref="V38:V40"/>
    <mergeCell ref="W38:W40"/>
    <mergeCell ref="X38:X40"/>
    <mergeCell ref="Y38:Y40"/>
    <mergeCell ref="U33:U35"/>
    <mergeCell ref="V33:V35"/>
    <mergeCell ref="Y46:Y48"/>
    <mergeCell ref="Y42:Y44"/>
    <mergeCell ref="U46:U48"/>
    <mergeCell ref="V46:V48"/>
    <mergeCell ref="O3:P3"/>
    <mergeCell ref="A5:X5"/>
    <mergeCell ref="A1:Y1"/>
    <mergeCell ref="T2:V2"/>
    <mergeCell ref="W2:X2"/>
    <mergeCell ref="M7:M9"/>
    <mergeCell ref="O23:X23"/>
    <mergeCell ref="T16:T18"/>
    <mergeCell ref="U16:U18"/>
    <mergeCell ref="V16:V18"/>
    <mergeCell ref="W16:W18"/>
    <mergeCell ref="U12:U14"/>
    <mergeCell ref="V12:V14"/>
    <mergeCell ref="W12:W14"/>
    <mergeCell ref="X12:X14"/>
    <mergeCell ref="T6:T9"/>
    <mergeCell ref="U6:U9"/>
    <mergeCell ref="V6:V9"/>
    <mergeCell ref="W6:W9"/>
    <mergeCell ref="X6:X9"/>
    <mergeCell ref="Y6:Y9"/>
    <mergeCell ref="T29:T31"/>
    <mergeCell ref="U29:U31"/>
    <mergeCell ref="V29:V31"/>
    <mergeCell ref="W29:W31"/>
    <mergeCell ref="X29:X31"/>
    <mergeCell ref="Y29:Y31"/>
    <mergeCell ref="Y12:Y14"/>
    <mergeCell ref="Y24:Y26"/>
    <mergeCell ref="T24:T26"/>
    <mergeCell ref="U24:U26"/>
    <mergeCell ref="V24:V26"/>
    <mergeCell ref="W24:W26"/>
    <mergeCell ref="X24:X26"/>
    <mergeCell ref="X16:X18"/>
    <mergeCell ref="Y16:Y18"/>
  </mergeCells>
  <conditionalFormatting sqref="Q6:S9">
    <cfRule type="expression" dxfId="49" priority="50" stopIfTrue="1">
      <formula>AND(Q6&lt;&gt;"",OR(Q6&lt;=0,Q6="-"))</formula>
    </cfRule>
  </conditionalFormatting>
  <conditionalFormatting sqref="P51:S64092">
    <cfRule type="expression" dxfId="48" priority="54" stopIfTrue="1">
      <formula>AND(P51&lt;&gt;"",OR(P51=0,P51="-"))</formula>
    </cfRule>
  </conditionalFormatting>
  <conditionalFormatting sqref="R21:S21">
    <cfRule type="expression" dxfId="47" priority="46" stopIfTrue="1">
      <formula>AND(R21&lt;&gt;"",OR(R21&lt;=0,R21="-"))</formula>
    </cfRule>
  </conditionalFormatting>
  <conditionalFormatting sqref="P20:S20 P22:S22">
    <cfRule type="expression" dxfId="46" priority="49" stopIfTrue="1">
      <formula>AND(P20&lt;&gt;"",OR(P20&lt;=0,P20="-"))</formula>
    </cfRule>
  </conditionalFormatting>
  <conditionalFormatting sqref="P21">
    <cfRule type="expression" dxfId="45" priority="48" stopIfTrue="1">
      <formula>AND(P21&lt;&gt;"",OR(P21&lt;=0,P21="-"))</formula>
    </cfRule>
  </conditionalFormatting>
  <conditionalFormatting sqref="Q21">
    <cfRule type="expression" dxfId="44" priority="47" stopIfTrue="1">
      <formula>AND(Q21&lt;&gt;"",OR(Q21&lt;=0,Q21="-"))</formula>
    </cfRule>
  </conditionalFormatting>
  <conditionalFormatting sqref="P6:P9">
    <cfRule type="expression" dxfId="43" priority="45" stopIfTrue="1">
      <formula>AND(P6&lt;&gt;"",OR(P6&lt;=0,P6="-"))</formula>
    </cfRule>
  </conditionalFormatting>
  <conditionalFormatting sqref="P17">
    <cfRule type="expression" dxfId="42" priority="41" stopIfTrue="1">
      <formula>AND(P17&lt;&gt;"",OR(P17&lt;=0,P17="-"))</formula>
    </cfRule>
  </conditionalFormatting>
  <conditionalFormatting sqref="Q3:T3">
    <cfRule type="expression" dxfId="41" priority="52" stopIfTrue="1">
      <formula>AND(Q3&lt;&gt;"",OR(Q3&lt;=0,Q3="-"))</formula>
    </cfRule>
  </conditionalFormatting>
  <conditionalFormatting sqref="T16">
    <cfRule type="expression" dxfId="40" priority="35" stopIfTrue="1">
      <formula>AND(T16&lt;&gt;"",OR(T16&lt;=0,T16="-"))</formula>
    </cfRule>
  </conditionalFormatting>
  <conditionalFormatting sqref="U16">
    <cfRule type="expression" dxfId="39" priority="34" stopIfTrue="1">
      <formula>AND(U16&lt;&gt;"",OR(U16&lt;=0,U16="-"))</formula>
    </cfRule>
  </conditionalFormatting>
  <conditionalFormatting sqref="V16">
    <cfRule type="expression" dxfId="38" priority="33" stopIfTrue="1">
      <formula>AND(V16&lt;&gt;"",OR(V16&lt;=0,V16="-"))</formula>
    </cfRule>
  </conditionalFormatting>
  <conditionalFormatting sqref="W16:X16">
    <cfRule type="expression" dxfId="37" priority="32" stopIfTrue="1">
      <formula>AND(W16&lt;&gt;"",OR(W16&lt;=0,W16="-"))</formula>
    </cfRule>
  </conditionalFormatting>
  <conditionalFormatting sqref="P16:S16 P18:S18">
    <cfRule type="expression" dxfId="36" priority="44" stopIfTrue="1">
      <formula>AND(P16&lt;&gt;"",OR(P16&lt;=0,P16="-"))</formula>
    </cfRule>
  </conditionalFormatting>
  <conditionalFormatting sqref="R34:S34">
    <cfRule type="expression" dxfId="35" priority="28" stopIfTrue="1">
      <formula>AND(R34&lt;&gt;"",OR(R34&lt;=0,R34="-"))</formula>
    </cfRule>
  </conditionalFormatting>
  <conditionalFormatting sqref="P33:S33 P35:S35">
    <cfRule type="expression" dxfId="34" priority="31" stopIfTrue="1">
      <formula>AND(P33&lt;&gt;"",OR(P33&lt;=0,P33="-"))</formula>
    </cfRule>
  </conditionalFormatting>
  <conditionalFormatting sqref="P34">
    <cfRule type="expression" dxfId="33" priority="30" stopIfTrue="1">
      <formula>AND(P34&lt;&gt;"",OR(P34&lt;=0,P34="-"))</formula>
    </cfRule>
  </conditionalFormatting>
  <conditionalFormatting sqref="Q34">
    <cfRule type="expression" dxfId="32" priority="29" stopIfTrue="1">
      <formula>AND(Q34&lt;&gt;"",OR(Q34&lt;=0,Q34="-"))</formula>
    </cfRule>
  </conditionalFormatting>
  <conditionalFormatting sqref="P12:S12 P14:S14">
    <cfRule type="expression" dxfId="31" priority="25" stopIfTrue="1">
      <formula>AND(P12&lt;&gt;"",OR(P12&lt;=0,P12="-"))</formula>
    </cfRule>
  </conditionalFormatting>
  <conditionalFormatting sqref="P13">
    <cfRule type="expression" dxfId="30" priority="24" stopIfTrue="1">
      <formula>AND(P13&lt;&gt;"",OR(P13&lt;=0,P13="-"))</formula>
    </cfRule>
  </conditionalFormatting>
  <conditionalFormatting sqref="R13:S13">
    <cfRule type="expression" dxfId="29" priority="22" stopIfTrue="1">
      <formula>AND(R13&lt;&gt;"",OR(R13&lt;=0,R13="-"))</formula>
    </cfRule>
  </conditionalFormatting>
  <conditionalFormatting sqref="Q13">
    <cfRule type="expression" dxfId="28" priority="23" stopIfTrue="1">
      <formula>AND(Q13&lt;&gt;"",OR(Q13&lt;=0,Q13="-"))</formula>
    </cfRule>
  </conditionalFormatting>
  <conditionalFormatting sqref="P24:S24 P26:S26">
    <cfRule type="expression" dxfId="27" priority="21" stopIfTrue="1">
      <formula>AND(P24&lt;&gt;"",OR(P24&lt;=0,P24="-"))</formula>
    </cfRule>
  </conditionalFormatting>
  <conditionalFormatting sqref="P25">
    <cfRule type="expression" dxfId="26" priority="20" stopIfTrue="1">
      <formula>AND(P25&lt;&gt;"",OR(P25&lt;=0,P25="-"))</formula>
    </cfRule>
  </conditionalFormatting>
  <conditionalFormatting sqref="Q25">
    <cfRule type="expression" dxfId="25" priority="19" stopIfTrue="1">
      <formula>AND(Q25&lt;&gt;"",OR(Q25&lt;=0,Q25="-"))</formula>
    </cfRule>
  </conditionalFormatting>
  <conditionalFormatting sqref="T24">
    <cfRule type="expression" dxfId="24" priority="17" stopIfTrue="1">
      <formula>AND(T24&lt;&gt;"",OR(T24&lt;=0,T24="-"))</formula>
    </cfRule>
  </conditionalFormatting>
  <conditionalFormatting sqref="R30:S30">
    <cfRule type="expression" dxfId="23" priority="13" stopIfTrue="1">
      <formula>AND(R30&lt;&gt;"",OR(R30&lt;=0,R30="-"))</formula>
    </cfRule>
  </conditionalFormatting>
  <conditionalFormatting sqref="P29:S29 P31:S31">
    <cfRule type="expression" dxfId="22" priority="16" stopIfTrue="1">
      <formula>AND(P29&lt;&gt;"",OR(P29&lt;=0,P29="-"))</formula>
    </cfRule>
  </conditionalFormatting>
  <conditionalFormatting sqref="P30">
    <cfRule type="expression" dxfId="21" priority="15" stopIfTrue="1">
      <formula>AND(P30&lt;&gt;"",OR(P30&lt;=0,P30="-"))</formula>
    </cfRule>
  </conditionalFormatting>
  <conditionalFormatting sqref="Q30">
    <cfRule type="expression" dxfId="20" priority="14" stopIfTrue="1">
      <formula>AND(Q30&lt;&gt;"",OR(Q30&lt;=0,Q30="-"))</formula>
    </cfRule>
  </conditionalFormatting>
  <conditionalFormatting sqref="P42:S42 P44:S44">
    <cfRule type="expression" dxfId="19" priority="12" stopIfTrue="1">
      <formula>AND(P42&lt;&gt;"",OR(P42&lt;=0,P42="-"))</formula>
    </cfRule>
  </conditionalFormatting>
  <conditionalFormatting sqref="P43">
    <cfRule type="expression" dxfId="18" priority="11" stopIfTrue="1">
      <formula>AND(P43&lt;&gt;"",OR(P43&lt;=0,P43="-"))</formula>
    </cfRule>
  </conditionalFormatting>
  <conditionalFormatting sqref="Q43">
    <cfRule type="expression" dxfId="17" priority="10" stopIfTrue="1">
      <formula>AND(Q43&lt;&gt;"",OR(Q43&lt;=0,Q43="-"))</formula>
    </cfRule>
  </conditionalFormatting>
  <conditionalFormatting sqref="R47:S47">
    <cfRule type="expression" dxfId="16" priority="5" stopIfTrue="1">
      <formula>AND(R47&lt;&gt;"",OR(R47&lt;=0,R47="-"))</formula>
    </cfRule>
  </conditionalFormatting>
  <conditionalFormatting sqref="P46:S46 P48:S48">
    <cfRule type="expression" dxfId="15" priority="8" stopIfTrue="1">
      <formula>AND(P46&lt;&gt;"",OR(P46&lt;=0,P46="-"))</formula>
    </cfRule>
  </conditionalFormatting>
  <conditionalFormatting sqref="P47">
    <cfRule type="expression" dxfId="14" priority="7" stopIfTrue="1">
      <formula>AND(P47&lt;&gt;"",OR(P47&lt;=0,P47="-"))</formula>
    </cfRule>
  </conditionalFormatting>
  <conditionalFormatting sqref="Q47">
    <cfRule type="expression" dxfId="13" priority="6" stopIfTrue="1">
      <formula>AND(Q47&lt;&gt;"",OR(Q47&lt;=0,Q47="-"))</formula>
    </cfRule>
  </conditionalFormatting>
  <conditionalFormatting sqref="R39:S39">
    <cfRule type="expression" dxfId="12" priority="1" stopIfTrue="1">
      <formula>AND(R39&lt;&gt;"",OR(R39&lt;=0,R39="-"))</formula>
    </cfRule>
  </conditionalFormatting>
  <conditionalFormatting sqref="P38:S38 P40:S40">
    <cfRule type="expression" dxfId="11" priority="4" stopIfTrue="1">
      <formula>AND(P38&lt;&gt;"",OR(P38&lt;=0,P38="-"))</formula>
    </cfRule>
  </conditionalFormatting>
  <conditionalFormatting sqref="P39">
    <cfRule type="expression" dxfId="10" priority="3" stopIfTrue="1">
      <formula>AND(P39&lt;&gt;"",OR(P39&lt;=0,P39="-"))</formula>
    </cfRule>
  </conditionalFormatting>
  <conditionalFormatting sqref="Q39">
    <cfRule type="expression" dxfId="9" priority="2" stopIfTrue="1">
      <formula>AND(Q39&lt;&gt;"",OR(Q39&lt;=0,Q39="-"))</formula>
    </cfRule>
  </conditionalFormatting>
  <conditionalFormatting sqref="P4:X4">
    <cfRule type="expression" dxfId="8" priority="53" stopIfTrue="1">
      <formula>AND(P4&lt;&gt;"",OR(P4&lt;=0,P4="-"))</formula>
    </cfRule>
  </conditionalFormatting>
  <conditionalFormatting sqref="P50:S50">
    <cfRule type="expression" dxfId="7" priority="51" stopIfTrue="1">
      <formula>AND(P50&lt;&gt;"",OR(P50=0,P50="-"))</formula>
    </cfRule>
  </conditionalFormatting>
  <conditionalFormatting sqref="R17:S17">
    <cfRule type="expression" dxfId="6" priority="40" stopIfTrue="1">
      <formula>AND(R17&lt;&gt;"",OR(R17&lt;=0,R17="-"))</formula>
    </cfRule>
  </conditionalFormatting>
  <conditionalFormatting sqref="Q17">
    <cfRule type="expression" dxfId="5" priority="27" stopIfTrue="1">
      <formula>AND(Q17&lt;&gt;"",OR(Q17&lt;=0,Q17="-"))</formula>
    </cfRule>
  </conditionalFormatting>
  <conditionalFormatting sqref="R25:S25">
    <cfRule type="expression" dxfId="4" priority="18" stopIfTrue="1">
      <formula>AND(R25&lt;&gt;"",OR(R25&lt;=0,R25="-"))</formula>
    </cfRule>
  </conditionalFormatting>
  <conditionalFormatting sqref="R43:S43">
    <cfRule type="expression" dxfId="3" priority="9" stopIfTrue="1">
      <formula>AND(R43&lt;&gt;"",OR(R43&lt;=0,R43="-"))</formula>
    </cfRule>
  </conditionalFormatting>
  <pageMargins left="0.31496062992125984" right="0.31496062992125984" top="0.74803149606299213" bottom="0.35433070866141736" header="0.31496062992125984" footer="0.31496062992125984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zoomScale="70" zoomScaleNormal="70" workbookViewId="0">
      <pane ySplit="1" topLeftCell="A2" activePane="bottomLeft" state="frozen"/>
      <selection activeCell="W7" sqref="W7:W9"/>
      <selection pane="bottomLeft" activeCell="A6" sqref="A6:Y8"/>
    </sheetView>
  </sheetViews>
  <sheetFormatPr defaultRowHeight="14.25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15.140625" style="10" customWidth="1"/>
    <col min="8" max="8" width="13.140625" style="8" customWidth="1"/>
    <col min="9" max="9" width="13.42578125" style="8" customWidth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9" width="29.5703125" style="10" customWidth="1"/>
    <col min="20" max="20" width="23.85546875" style="3" customWidth="1"/>
    <col min="21" max="21" width="22.140625" style="3" customWidth="1"/>
    <col min="22" max="22" width="19.42578125" style="3" customWidth="1"/>
    <col min="23" max="23" width="13.85546875" style="3" customWidth="1"/>
    <col min="24" max="24" width="12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400" t="s">
        <v>20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</row>
    <row r="2" spans="1:31" s="5" customFormat="1" ht="21" thickBot="1" x14ac:dyDescent="0.3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487" t="s">
        <v>14</v>
      </c>
      <c r="U2" s="488"/>
      <c r="V2" s="489"/>
      <c r="W2" s="490" t="s">
        <v>16</v>
      </c>
      <c r="X2" s="491"/>
      <c r="Y2" s="392"/>
      <c r="Z2" s="4"/>
      <c r="AA2" s="4"/>
      <c r="AB2" s="4"/>
      <c r="AC2" s="4"/>
      <c r="AD2" s="4"/>
      <c r="AE2" s="4"/>
    </row>
    <row r="3" spans="1:31" s="213" customFormat="1" ht="90" thickBot="1" x14ac:dyDescent="0.3">
      <c r="A3" s="205" t="s">
        <v>155</v>
      </c>
      <c r="B3" s="206" t="s">
        <v>156</v>
      </c>
      <c r="C3" s="206" t="s">
        <v>157</v>
      </c>
      <c r="D3" s="207" t="s">
        <v>0</v>
      </c>
      <c r="E3" s="240" t="s">
        <v>158</v>
      </c>
      <c r="F3" s="208" t="s">
        <v>159</v>
      </c>
      <c r="G3" s="209" t="s">
        <v>252</v>
      </c>
      <c r="H3" s="210" t="s">
        <v>160</v>
      </c>
      <c r="I3" s="211" t="s">
        <v>174</v>
      </c>
      <c r="J3" s="209" t="s">
        <v>17</v>
      </c>
      <c r="K3" s="209" t="s">
        <v>161</v>
      </c>
      <c r="L3" s="209" t="s">
        <v>162</v>
      </c>
      <c r="M3" s="209" t="s">
        <v>163</v>
      </c>
      <c r="N3" s="416" t="s">
        <v>3</v>
      </c>
      <c r="O3" s="417"/>
      <c r="P3" s="209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209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209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209" t="s">
        <v>247</v>
      </c>
      <c r="T3" s="390" t="s">
        <v>15</v>
      </c>
      <c r="U3" s="390" t="s">
        <v>164</v>
      </c>
      <c r="V3" s="390" t="s">
        <v>165</v>
      </c>
      <c r="W3" s="391" t="s">
        <v>12</v>
      </c>
      <c r="X3" s="391" t="s">
        <v>13</v>
      </c>
      <c r="Y3" s="247" t="s">
        <v>4</v>
      </c>
      <c r="Z3" s="212"/>
      <c r="AA3" s="212"/>
      <c r="AB3" s="212"/>
      <c r="AC3" s="212"/>
      <c r="AD3" s="212"/>
      <c r="AE3" s="212"/>
    </row>
    <row r="4" spans="1:31" s="5" customFormat="1" x14ac:dyDescent="0.25">
      <c r="A4" s="214"/>
      <c r="B4" s="215"/>
      <c r="C4" s="215"/>
      <c r="D4" s="215"/>
      <c r="E4" s="215"/>
      <c r="F4" s="216" t="s">
        <v>5</v>
      </c>
      <c r="G4" s="216" t="s">
        <v>5</v>
      </c>
      <c r="H4" s="216" t="s">
        <v>18</v>
      </c>
      <c r="I4" s="216" t="s">
        <v>18</v>
      </c>
      <c r="J4" s="216" t="s">
        <v>5</v>
      </c>
      <c r="K4" s="216" t="s">
        <v>18</v>
      </c>
      <c r="L4" s="216" t="s">
        <v>18</v>
      </c>
      <c r="M4" s="216" t="s">
        <v>18</v>
      </c>
      <c r="N4" s="216" t="s">
        <v>5</v>
      </c>
      <c r="O4" s="216" t="s">
        <v>6</v>
      </c>
      <c r="P4" s="217" t="s">
        <v>5</v>
      </c>
      <c r="Q4" s="393"/>
      <c r="R4" s="393"/>
      <c r="S4" s="393"/>
      <c r="T4" s="394"/>
      <c r="U4" s="394"/>
      <c r="V4" s="394"/>
      <c r="W4" s="394"/>
      <c r="X4" s="394"/>
      <c r="Y4" s="395"/>
      <c r="Z4" s="212"/>
      <c r="AA4" s="212"/>
      <c r="AB4" s="212"/>
      <c r="AC4" s="212"/>
      <c r="AD4" s="212"/>
      <c r="AE4" s="4"/>
    </row>
    <row r="5" spans="1:31" ht="18" x14ac:dyDescent="0.25">
      <c r="A5" s="484" t="s">
        <v>168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384"/>
      <c r="T5" s="221"/>
      <c r="U5" s="221"/>
      <c r="V5" s="221"/>
      <c r="W5" s="221"/>
      <c r="X5" s="221"/>
      <c r="Y5" s="221"/>
      <c r="Z5" s="212"/>
      <c r="AA5" s="212"/>
      <c r="AB5" s="212"/>
      <c r="AC5" s="212"/>
      <c r="AD5" s="212"/>
    </row>
    <row r="6" spans="1:31" ht="14.25" customHeight="1" x14ac:dyDescent="0.25">
      <c r="A6" s="486" t="s">
        <v>253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</row>
    <row r="7" spans="1:31" ht="14.25" customHeight="1" x14ac:dyDescent="0.25">
      <c r="A7" s="415"/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</row>
    <row r="8" spans="1:31" ht="14.25" customHeight="1" x14ac:dyDescent="0.25">
      <c r="A8" s="415"/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</row>
  </sheetData>
  <mergeCells count="6">
    <mergeCell ref="A5:R5"/>
    <mergeCell ref="A6:Y8"/>
    <mergeCell ref="A1:Y1"/>
    <mergeCell ref="T2:V2"/>
    <mergeCell ref="W2:X2"/>
    <mergeCell ref="N3:O3"/>
  </mergeCells>
  <conditionalFormatting sqref="P4:S4 P3:R3">
    <cfRule type="expression" dxfId="2" priority="2" stopIfTrue="1">
      <formula>AND(P3&lt;&gt;"",OR(P3&lt;=0,P3="-"))</formula>
    </cfRule>
  </conditionalFormatting>
  <conditionalFormatting sqref="P9:S64322">
    <cfRule type="expression" dxfId="1" priority="3" stopIfTrue="1">
      <formula>AND(P9&lt;&gt;"",OR(P9=0,P9="-"))</formula>
    </cfRule>
  </conditionalFormatting>
  <conditionalFormatting sqref="S3">
    <cfRule type="expression" dxfId="0" priority="1" stopIfTrue="1">
      <formula>AND(S3&lt;&gt;"",OR(S3&lt;=0,S3="-"))</formula>
    </cfRule>
  </conditionalFormatting>
  <pageMargins left="0.31496062992125984" right="0.31496062992125984" top="0.74803149606299213" bottom="0.35433070866141736" header="0.31496062992125984" footer="0.31496062992125984"/>
  <pageSetup paperSize="9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B907A2C24CFD04F9D6A8411062FFEC2" ma:contentTypeVersion="0" ma:contentTypeDescription="Создание документа." ma:contentTypeScope="" ma:versionID="531915b083e9ee3cc8b4a89328fc014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F26F3-4B82-4C21-B92C-3CB683B61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EAD8C5-A5D8-4518-93AC-65C5C945EAD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5C988C3-2078-45F0-A984-8B2CFD468F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 все ЗЦП</vt:lpstr>
      <vt:lpstr>ЗЭС все ЗЦП</vt:lpstr>
      <vt:lpstr>СЭС</vt:lpstr>
      <vt:lpstr>ЦЭС</vt:lpstr>
      <vt:lpstr>ЮЭС все ЗЦП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Висящев Алексей Александрович</cp:lastModifiedBy>
  <cp:lastPrinted>2021-04-21T02:38:24Z</cp:lastPrinted>
  <dcterms:created xsi:type="dcterms:W3CDTF">2011-03-04T06:04:26Z</dcterms:created>
  <dcterms:modified xsi:type="dcterms:W3CDTF">2022-04-05T05:36:54Z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0x0101004B907A2C24CFD04F9D6A8411062FFEC2</vt:lpwstr>
  </property>
</Properties>
</file>